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9150" activeTab="0"/>
  </bookViews>
  <sheets>
    <sheet name="príjmy" sheetId="1" r:id="rId1"/>
    <sheet name="výdavky" sheetId="2" r:id="rId2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<sst xmlns="http://schemas.openxmlformats.org/spreadsheetml/2006/main" count="565" uniqueCount="409">
  <si>
    <t>v tis.</t>
  </si>
  <si>
    <t>Kapitálové príjmy spolu:</t>
  </si>
  <si>
    <t>212 004 - príjem z prenájmu bytu - príjem ponížený na základe odpredaja bytu do OV.</t>
  </si>
  <si>
    <t>Bežné príjmy spolu:</t>
  </si>
  <si>
    <t>Kapitálové výdavky spolu: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</si>
  <si>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</si>
  <si>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</si>
  <si>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</si>
  <si>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</si>
  <si>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</si>
  <si>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</si>
  <si>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</si>
  <si>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</si>
  <si>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</si>
  <si>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</si>
  <si>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04.5.1 Cestná doprava</t>
  </si>
  <si>
    <t>06.4.0 Verejné osvetlenie</t>
  </si>
  <si>
    <t>641 001</t>
  </si>
  <si>
    <t xml:space="preserve">10.1.2.3 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</si>
  <si>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</si>
  <si>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</si>
  <si>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</si>
  <si>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</si>
  <si>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</si>
  <si>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</si>
  <si>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</si>
  <si>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</si>
  <si>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</si>
  <si>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2005 úprava</t>
  </si>
  <si>
    <t>1500 budeme vinkulovať z RF</t>
  </si>
  <si>
    <t>Bašty</t>
  </si>
  <si>
    <t>DzN  FO pozemky</t>
  </si>
  <si>
    <t>DzN FO stavby</t>
  </si>
  <si>
    <t>121001 10</t>
  </si>
  <si>
    <t>DzN PO pozemky</t>
  </si>
  <si>
    <t>121002 10</t>
  </si>
  <si>
    <t>DzN PO stavby</t>
  </si>
  <si>
    <t>Čerpanie k 30.9.2005</t>
  </si>
  <si>
    <t>3.zmena</t>
  </si>
  <si>
    <t>4.zmena</t>
  </si>
  <si>
    <t>Cestovné náhrady</t>
  </si>
  <si>
    <t xml:space="preserve">Materiál </t>
  </si>
  <si>
    <t>Rutinná a štandartná údržba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</si>
  <si>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</si>
  <si>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</si>
  <si>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</si>
  <si>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</si>
  <si>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</si>
  <si>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</si>
  <si>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</si>
  <si>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</si>
  <si>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</si>
  <si>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</si>
  <si>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z toho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</si>
  <si>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</si>
  <si>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</si>
  <si>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</si>
  <si>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</si>
  <si>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</si>
  <si>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</si>
  <si>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</si>
  <si>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5.zmena 2005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</si>
  <si>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</si>
  <si>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</si>
  <si>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</si>
  <si>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</si>
  <si>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</si>
  <si>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</si>
  <si>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</si>
  <si>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</si>
  <si>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</si>
  <si>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</si>
  <si>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</si>
  <si>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</si>
  <si>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</si>
  <si>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</si>
  <si>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</si>
  <si>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</si>
  <si>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</si>
  <si>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</si>
  <si>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</si>
  <si>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</si>
  <si>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</si>
  <si>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</si>
  <si>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</si>
  <si>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</si>
  <si>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</si>
  <si>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</si>
  <si>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</si>
  <si>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</si>
  <si>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</si>
  <si>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</si>
  <si>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</si>
  <si>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</si>
  <si>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</si>
  <si>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</si>
  <si>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</si>
  <si>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</si>
  <si>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</si>
  <si>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</si>
  <si>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</si>
  <si>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</si>
  <si>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</si>
  <si>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Banke a pobočke zahraničnej banky</t>
  </si>
  <si>
    <t>Materiál</t>
  </si>
  <si>
    <t>Potraviny</t>
  </si>
  <si>
    <t>Príspevkovej organizácii</t>
  </si>
  <si>
    <t>Nezisk. organizácii poskyt. všeobecne prosp. služby</t>
  </si>
  <si>
    <t>Na dávku v hmotnej núdzi a príspevky k dávke</t>
  </si>
  <si>
    <t>Jednotlivcovi</t>
  </si>
  <si>
    <t>Výnos dane z príjmov poukázany územnej samospráve</t>
  </si>
  <si>
    <t>Za ubytovanie</t>
  </si>
  <si>
    <t>Príjem z predaja kapitálových aktív</t>
  </si>
  <si>
    <t>Z predaja pozemkov</t>
  </si>
  <si>
    <t>Prevod prostriedkov z rezervného fondu obce</t>
  </si>
  <si>
    <t>Príjmové finančné operácie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</si>
  <si>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</si>
  <si>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</si>
  <si>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</si>
  <si>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</si>
  <si>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</si>
  <si>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</si>
  <si>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</si>
  <si>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Tuzemské úvery, pôžičky a návartné finančné výpomoci</t>
  </si>
  <si>
    <t xml:space="preserve">Výdavkové finančné operácie </t>
  </si>
  <si>
    <t>Hospodárenie celkom</t>
  </si>
  <si>
    <t>Výdavkové finančné operácie</t>
  </si>
  <si>
    <t xml:space="preserve">01.7.0 Trnasakcie verejného dlhu </t>
  </si>
  <si>
    <t>03.2.0 Ochrana pred požiarmi</t>
  </si>
  <si>
    <t>06.2.0 Rozvoj obcí</t>
  </si>
  <si>
    <t>10.2.0</t>
  </si>
  <si>
    <t>10.4.0</t>
  </si>
  <si>
    <t>111 003</t>
  </si>
  <si>
    <t>133 001</t>
  </si>
  <si>
    <t>133 006</t>
  </si>
  <si>
    <t>133 013</t>
  </si>
  <si>
    <t>Nedaňové príjmy - príjmy z podnikania a z vlastníctva majetlu</t>
  </si>
  <si>
    <t>651 002  10</t>
  </si>
  <si>
    <t>651 002  20</t>
  </si>
  <si>
    <t>651 002  30</t>
  </si>
  <si>
    <t>642 014  10</t>
  </si>
  <si>
    <t>642 014  20</t>
  </si>
  <si>
    <t>821 005  10</t>
  </si>
  <si>
    <t>Údržba a opravy</t>
  </si>
  <si>
    <t>z prenájmu zasadačky a ostané budovy</t>
  </si>
  <si>
    <t>z prenájmu predajne</t>
  </si>
  <si>
    <t>z prenájmu bytovka</t>
  </si>
  <si>
    <t>popl.za dobývací priestor</t>
  </si>
  <si>
    <t>z prenájmu hradu</t>
  </si>
  <si>
    <t>vstupné na hrad</t>
  </si>
  <si>
    <t>predaj propag.materialu, suvenýrov</t>
  </si>
  <si>
    <t>bytovka za vodu</t>
  </si>
  <si>
    <t>bytovka za elektrickú energiu</t>
  </si>
  <si>
    <t>náhodilé služby</t>
  </si>
  <si>
    <t>Transfery v rámci verejnej správy - zo ŠR- vojnové hroby</t>
  </si>
  <si>
    <t>Transfery v rámci verejnej správy - zo ŠR- hlásenie pobytu občanov</t>
  </si>
  <si>
    <t>Transfery v rámci verejnej správy - zo ŠR- na pozemné komunikácie</t>
  </si>
  <si>
    <t>Transfery v rámci verejnej správy - zo ŠR- životné prostredie</t>
  </si>
  <si>
    <t>voda</t>
  </si>
  <si>
    <t>telefon, fax, internet</t>
  </si>
  <si>
    <t>mobil</t>
  </si>
  <si>
    <t>poštové služby</t>
  </si>
  <si>
    <t>čistiace a hyg.prostriedky</t>
  </si>
  <si>
    <t>PHM nafta traktor</t>
  </si>
  <si>
    <t>oleje</t>
  </si>
  <si>
    <t>údržba  administrativnej budovy</t>
  </si>
  <si>
    <t>propagácia, inzercia</t>
  </si>
  <si>
    <t>Služby- web stránka</t>
  </si>
  <si>
    <t>auditorské služby</t>
  </si>
  <si>
    <t xml:space="preserve">poistenie majetku </t>
  </si>
  <si>
    <t>povinný prídel do Soc.fondu</t>
  </si>
  <si>
    <t>kolky</t>
  </si>
  <si>
    <t>dohody o vykonaní práce</t>
  </si>
  <si>
    <t>členské ZMOS</t>
  </si>
  <si>
    <t xml:space="preserve">06.1.0 Bytovka </t>
  </si>
  <si>
    <t xml:space="preserve"> elektrina</t>
  </si>
  <si>
    <t xml:space="preserve"> voda</t>
  </si>
  <si>
    <t>bankové poplatky</t>
  </si>
  <si>
    <t xml:space="preserve">elektrina </t>
  </si>
  <si>
    <t>material</t>
  </si>
  <si>
    <t>DOHODY</t>
  </si>
  <si>
    <t>údržba</t>
  </si>
  <si>
    <t>08.3.0    miestny  rozhlas</t>
  </si>
  <si>
    <t>Dôchodci - ostatné</t>
  </si>
  <si>
    <t>príspevok na stravu dôchodcom</t>
  </si>
  <si>
    <t>04.5.1.     Správa a údržba ciest- miestne komunikácie</t>
  </si>
  <si>
    <t>služba za pohreb</t>
  </si>
  <si>
    <t>príjem z dobropisov</t>
  </si>
  <si>
    <t>292 017</t>
  </si>
  <si>
    <t>benzín, oleje - krovinorez píla</t>
  </si>
  <si>
    <t>Splácanie bankových úverov dlh.- cesty - nový</t>
  </si>
  <si>
    <t>úrok z úveru nový</t>
  </si>
  <si>
    <t>Materiál - vrecia na odpad</t>
  </si>
  <si>
    <t>dohoda o vyk.práce</t>
  </si>
  <si>
    <t xml:space="preserve">Energie, </t>
  </si>
  <si>
    <t>EUR</t>
  </si>
  <si>
    <t>poplatok za kopírovanie,telefon, známky pre psov</t>
  </si>
  <si>
    <t xml:space="preserve">Nedaňové príjmy - úroky z tuz.úverov, pôžičiek, návr.fin.výpomocí, vkladov </t>
  </si>
  <si>
    <t>Úroky z tuz.úverov, pôžičiek, návratných finančných výpomocí, vkladov</t>
  </si>
  <si>
    <t>ochranné prac. Pomôcky</t>
  </si>
  <si>
    <t>oprava traktor</t>
  </si>
  <si>
    <t>aktualizácia softvéru</t>
  </si>
  <si>
    <t>Chovatelia Podbranč</t>
  </si>
  <si>
    <t>Jednota dôchodcov Podbranč</t>
  </si>
  <si>
    <t xml:space="preserve"> údržba MK </t>
  </si>
  <si>
    <t>odvoz odpadu</t>
  </si>
  <si>
    <t>popl. za skladkovanie odpadu</t>
  </si>
  <si>
    <t>materiál</t>
  </si>
  <si>
    <t xml:space="preserve">Telovýchovná jednota </t>
  </si>
  <si>
    <r>
      <t>08.1.0</t>
    </r>
    <r>
      <rPr>
        <sz val="8"/>
        <rFont val="Arial"/>
        <family val="2"/>
      </rPr>
      <t>.</t>
    </r>
  </si>
  <si>
    <t>08.4.0   Dom smútku, cintorín</t>
  </si>
  <si>
    <t>Odvoz odpadu  a popl. za skladkovanie</t>
  </si>
  <si>
    <t>za donášku obedov</t>
  </si>
  <si>
    <t>vratka z roč. zúčt. VšZP</t>
  </si>
  <si>
    <t>DzN z min. rokov</t>
  </si>
  <si>
    <t>za psa min.roky</t>
  </si>
  <si>
    <t>Odpady z min. rokov</t>
  </si>
  <si>
    <t>Splácanie bankových úverov dlh.-bytovka ŠFRB</t>
  </si>
  <si>
    <t>Popl. za STK, EK</t>
  </si>
  <si>
    <t>oprava mot.píly, krovinorezu</t>
  </si>
  <si>
    <t>oprava os.auto</t>
  </si>
  <si>
    <t>materiál,súčiastky na krovinorez,pílu,traktor,auto</t>
  </si>
  <si>
    <t>Nájom hrobového miesta</t>
  </si>
  <si>
    <t>Rutinná a štandartná údržba počítače,</t>
  </si>
  <si>
    <t>odmeny poslancom a komisiam</t>
  </si>
  <si>
    <t>Oprava interiérového vybavenia</t>
  </si>
  <si>
    <t>Stravné lístky</t>
  </si>
  <si>
    <t>benzín a olej do  krovinorezu a píly</t>
  </si>
  <si>
    <t>Benzín do krovinorezu na kosenie hradu</t>
  </si>
  <si>
    <t>Poplatok SOZA, SLOVGRAM</t>
  </si>
  <si>
    <t>Benzín do krovinorezu na kosenie cintorína</t>
  </si>
  <si>
    <t>softver - antivírus</t>
  </si>
  <si>
    <t>stretnutie dôchodcov (jubilanti vecné dary )</t>
  </si>
  <si>
    <t xml:space="preserve">Materiál  </t>
  </si>
  <si>
    <t>vianočné osvetlenie</t>
  </si>
  <si>
    <t>Únia žien Podbranč</t>
  </si>
  <si>
    <t>MK SR - Obnova hradu Branč</t>
  </si>
  <si>
    <t>renovácia tonerov</t>
  </si>
  <si>
    <t>Mzda - nezamest.projekt Obnova hradu  -§54</t>
  </si>
  <si>
    <t>Poistné- projekt Obnova hradu - § 54</t>
  </si>
  <si>
    <t>pracov.obuv, odevy, pomôcky - hrad - §54</t>
  </si>
  <si>
    <t>stravné lístky - hrad §54</t>
  </si>
  <si>
    <t>úrazové poistenie - hrad - § 54</t>
  </si>
  <si>
    <t>materiál, kameň</t>
  </si>
  <si>
    <t>Energie,</t>
  </si>
  <si>
    <t>vstupné hodové slávnosti</t>
  </si>
  <si>
    <t>821 007  20</t>
  </si>
  <si>
    <t>poplatok RTVS</t>
  </si>
  <si>
    <t>Projekt Obnova hradu Branč - podiel obce</t>
  </si>
  <si>
    <t>Bankový úver - Vstupný verejný priestor Majeričky</t>
  </si>
  <si>
    <t>revízia elektro a chladiaceho zariadenia</t>
  </si>
  <si>
    <t>elektro revízia a hasiacich prístrojov</t>
  </si>
  <si>
    <t>členské ZOZO človek človeku</t>
  </si>
  <si>
    <t>výrocie</t>
  </si>
  <si>
    <t>Hlásenie MR</t>
  </si>
  <si>
    <t>poistné</t>
  </si>
  <si>
    <t>Hrad. Slávnosti - zabezpečenie podujatia</t>
  </si>
  <si>
    <t>Uvítanie detí - zabezpečenie programu</t>
  </si>
  <si>
    <t>HODY - zabezpečenie programu</t>
  </si>
  <si>
    <t>odpad. nádoby a vrecia</t>
  </si>
  <si>
    <t>vstupné hradné slávnosti</t>
  </si>
  <si>
    <t>Tvorba SF</t>
  </si>
  <si>
    <t>Transfér zo SR na ROEP</t>
  </si>
  <si>
    <t>zmena územného plánu</t>
  </si>
  <si>
    <t xml:space="preserve">odborná literatúra, noviny  </t>
  </si>
  <si>
    <t>propagačné predmety</t>
  </si>
  <si>
    <t>voda zamestnancom</t>
  </si>
  <si>
    <t>transfér na CVČ</t>
  </si>
  <si>
    <t>OOCR Záhorie</t>
  </si>
  <si>
    <t>úroky z úveru - ŠFRB</t>
  </si>
  <si>
    <t>Mzda - § 50j  verejné priestranstvo</t>
  </si>
  <si>
    <t>Poistné - § 50j verejné priestranstvo</t>
  </si>
  <si>
    <t>prenájom umelej plochy</t>
  </si>
  <si>
    <t>Ostatné služby</t>
  </si>
  <si>
    <t>informačná tabuľa hrobových miest</t>
  </si>
  <si>
    <t>Prenájom has. techniky - HZ HD (min.roky prenájom stroja, prístroja)</t>
  </si>
  <si>
    <t>Správne poplatky, pokuty</t>
  </si>
  <si>
    <t>znalecký posudok</t>
  </si>
  <si>
    <t>Mikuláš - zabezpečenie programu</t>
  </si>
  <si>
    <t>Dar od FO na hrad (pred aj na vodovod. prípojku)</t>
  </si>
  <si>
    <t>Transféry v rámci VS  zo ŠR - UPSVaR - 50j - verej. priestr. (pred revitaliz)</t>
  </si>
  <si>
    <t>Transféry v rámci VS -UPSVaR -§54 - hrad  (pred §50i)</t>
  </si>
  <si>
    <t>zostatok prostriedkov BT Obnova hradu Branč (predtým KD, povodeň)</t>
  </si>
  <si>
    <t xml:space="preserve">Rozpočtové výdavky spolu                            </t>
  </si>
  <si>
    <t>geodetické služby, vypracovanie žiadosti</t>
  </si>
  <si>
    <t xml:space="preserve">Materiál na opravu studní </t>
  </si>
  <si>
    <t xml:space="preserve">materiál </t>
  </si>
  <si>
    <t>PHM os. auto</t>
  </si>
  <si>
    <t>všeobecné služby</t>
  </si>
  <si>
    <t>Školenia, kurzy, semináre</t>
  </si>
  <si>
    <t xml:space="preserve">DzN </t>
  </si>
  <si>
    <t xml:space="preserve">Za psa </t>
  </si>
  <si>
    <t xml:space="preserve">Odpad </t>
  </si>
  <si>
    <t>Transfér - rodinné prídavky - osobitný príjemca</t>
  </si>
  <si>
    <t>prevod prostriedkov FO z minulých rokov</t>
  </si>
  <si>
    <t>materiál - osobitný príjemca rod. prídavky</t>
  </si>
  <si>
    <t>MDŽ  zabezpečenie programu</t>
  </si>
  <si>
    <t>sociálna posudková činnosti</t>
  </si>
  <si>
    <t>08.3.0   Miestny rozhlas</t>
  </si>
  <si>
    <t>Rozhlasová ústredňa</t>
  </si>
  <si>
    <t>projektová dokumentácia</t>
  </si>
  <si>
    <t>geodetické služby</t>
  </si>
  <si>
    <t>01.1.1 Výkonné a zákonodarné orgány</t>
  </si>
  <si>
    <t>01.6.0 Všeobecné verejné služby - VOĽBY</t>
  </si>
  <si>
    <t>04.1.2 Všeobecná pracovná oblasť  - ÚPSVaR</t>
  </si>
  <si>
    <t>a  - MK</t>
  </si>
  <si>
    <t xml:space="preserve">odpadmi </t>
  </si>
  <si>
    <t>05.1.0  Nakladanie s odpadmi</t>
  </si>
  <si>
    <t>06.3.0 Zásobovanie vodou</t>
  </si>
  <si>
    <t xml:space="preserve">08.2.0.   Kultúrny  dom </t>
  </si>
  <si>
    <t>08.2.0.  Hrad Branč</t>
  </si>
  <si>
    <t>Transfér " Revitalizcia obce Podbranč"</t>
  </si>
  <si>
    <t xml:space="preserve">Revitalizácia obce Podbranč </t>
  </si>
  <si>
    <t>zimná údržba</t>
  </si>
  <si>
    <t>Dar od FO na MK , KD a hrad. slávnosti</t>
  </si>
  <si>
    <t>požiarno - poplachový plán + BOZP</t>
  </si>
  <si>
    <t>Revitalizácia obce Podbranč  - podiel obce</t>
  </si>
  <si>
    <t>Bankové úvery  - Revitalizácia obce Podbranč (predtým úver Rousínov)</t>
  </si>
  <si>
    <t>121 001</t>
  </si>
  <si>
    <t>134 001</t>
  </si>
  <si>
    <t>Vojnové hroby - materiál</t>
  </si>
  <si>
    <t>Transfer -  hlásenie pobytu občanov</t>
  </si>
  <si>
    <t>Transfer -  pozemné komunikácie</t>
  </si>
  <si>
    <t>Transfer -  životné prostredie</t>
  </si>
  <si>
    <t>Bežné transfery</t>
  </si>
  <si>
    <t>Poistné ZP a SP</t>
  </si>
  <si>
    <t>06.6.0.</t>
  </si>
  <si>
    <t xml:space="preserve">Verejné WC </t>
  </si>
  <si>
    <t>PHM do kosačky</t>
  </si>
  <si>
    <t>Energia</t>
  </si>
  <si>
    <t>Voda</t>
  </si>
  <si>
    <t xml:space="preserve">09.1.2.1     Školy </t>
  </si>
  <si>
    <t>08.2.0.</t>
  </si>
  <si>
    <t>Obecné organizácie</t>
  </si>
  <si>
    <t>Kultúrne podujatia</t>
  </si>
  <si>
    <t>10.2.0.</t>
  </si>
  <si>
    <t>spoločná úradovňa Senica</t>
  </si>
  <si>
    <t>01.1.1. Výdavky verejnej správy</t>
  </si>
  <si>
    <t>Revitalizácia obce Podbranč</t>
  </si>
  <si>
    <t>01.1.1.  Transakcie verejného dlhu</t>
  </si>
  <si>
    <t>kanc. potreby - transfer hlásenie pobytu občanov</t>
  </si>
  <si>
    <t>lekárske prehliadky</t>
  </si>
  <si>
    <t>Vyhotovila: Dana Marková</t>
  </si>
  <si>
    <t>Ing. Milan Kadlíček</t>
  </si>
  <si>
    <t xml:space="preserve">    starosta obce</t>
  </si>
  <si>
    <t>Mzda nezamest.-verej.pr. § 54 (pred povodeň 50j)</t>
  </si>
  <si>
    <t>Poistné  nezamest. Verej.pr.§ 54 (pred povodeň  §50j)</t>
  </si>
  <si>
    <t>prac.obuv,odev, náradie -§ 54 (pred povodeň § 50j)</t>
  </si>
  <si>
    <t>vstupná lekárska prehliadka - hrad - § 54</t>
  </si>
  <si>
    <t xml:space="preserve">Projekt Obnova hradu Branč </t>
  </si>
  <si>
    <t>Transfery v rámci verejnej správy - ÚPSVaR - §54 verej.pr.(pred povodeň )</t>
  </si>
  <si>
    <t xml:space="preserve">oprava strechy - kino </t>
  </si>
  <si>
    <t>Transfery v rámci verejnej správy - zo ŠR- Voľby  a referendá</t>
  </si>
  <si>
    <t>Energie - HZ DD, HZ HD, DEPO, hostinec</t>
  </si>
  <si>
    <t xml:space="preserve">členské MAS Kopaničiarsky region </t>
  </si>
  <si>
    <t>Verejná zeleň -PHM a materiál</t>
  </si>
  <si>
    <t>údržba ihriska a budovy</t>
  </si>
  <si>
    <t>Revitalizácia obce Podbranč - úver</t>
  </si>
  <si>
    <t>Prístup na server</t>
  </si>
  <si>
    <t>Projekt Obnova hradu Branč - vrát.neakcept.dotácie</t>
  </si>
  <si>
    <t>Splácanie úveru - ROP</t>
  </si>
  <si>
    <t>úrok z úveru - ROP (pred tým Rousínov)</t>
  </si>
  <si>
    <t xml:space="preserve">Nájomné za OcU  a pozemok </t>
  </si>
  <si>
    <t>Skutočné plnenia 2014</t>
  </si>
  <si>
    <t>Rozpočet 2016</t>
  </si>
  <si>
    <t>Rozpočet 2017</t>
  </si>
  <si>
    <t>Skutočné plnenie 2014</t>
  </si>
  <si>
    <t xml:space="preserve">Budova obecného úradu, pozemok </t>
  </si>
  <si>
    <t>vývoz žumpy, čistenie obrusov</t>
  </si>
  <si>
    <t>prenájom prístrojov</t>
  </si>
  <si>
    <t xml:space="preserve">údržba DEPO </t>
  </si>
  <si>
    <t>Dotácia na 2 hasičské zbory</t>
  </si>
  <si>
    <t>revízia elektriky, vývoz žumpy</t>
  </si>
  <si>
    <t>HZ DD</t>
  </si>
  <si>
    <t>HZ HD</t>
  </si>
  <si>
    <t>Dotácia pre 2 hasičské zbory</t>
  </si>
  <si>
    <t>Detské ihrisko  Podzámok</t>
  </si>
  <si>
    <t>Z prenájmu plochy na reklamu</t>
  </si>
  <si>
    <t>materiál - 80.výročie DHZ Podbranč</t>
  </si>
  <si>
    <t>notárske a advokátske služby</t>
  </si>
  <si>
    <t>výpočtová technika</t>
  </si>
  <si>
    <t>oprava bytovky, revízie  z fondu opráv</t>
  </si>
  <si>
    <t>PHM na kosenie vodozádržných prvkov</t>
  </si>
  <si>
    <t>revízie</t>
  </si>
  <si>
    <t>ROP - externý manažment projektu</t>
  </si>
  <si>
    <t>Traktorová kosačka, posýpač</t>
  </si>
  <si>
    <t>interierové vybavenie -</t>
  </si>
  <si>
    <t>nákup -, pracovné prístroje</t>
  </si>
  <si>
    <t xml:space="preserve">kanc.potreby </t>
  </si>
  <si>
    <t>revízie has.prístrojov+elektro</t>
  </si>
  <si>
    <t>služby CO</t>
  </si>
  <si>
    <t xml:space="preserve">                 Detské ihrisko</t>
  </si>
  <si>
    <t>transfer DSS a vydavateľstvu SSS,Mažoretky</t>
  </si>
  <si>
    <t>Očakávaná skutočnosť 2016</t>
  </si>
  <si>
    <t>Rozpočet 2018</t>
  </si>
  <si>
    <t>Rozpočet 2019</t>
  </si>
  <si>
    <t>Skutočné plnenie 2015</t>
  </si>
  <si>
    <t>Materiál, vývoz žumpy</t>
  </si>
  <si>
    <t>05.4.0  Ochrana prírody</t>
  </si>
  <si>
    <t>materiál na opravu lávok</t>
  </si>
  <si>
    <t>bankové poplatky, spráne popl,</t>
  </si>
  <si>
    <t>Projekt Obnova hradu Branč -vratka nevyč. dotácie</t>
  </si>
  <si>
    <t>Prenájom internet na hrade</t>
  </si>
  <si>
    <t xml:space="preserve">Chodník HD + projekty chodník,KD,kino) </t>
  </si>
  <si>
    <t>Schválené na zasadnutí OZ dňa:  08.12.2016</t>
  </si>
  <si>
    <t>Vyvesené na informačnej tabuli:22.11.2016</t>
  </si>
  <si>
    <t>Zvesené:08.12.2016</t>
  </si>
  <si>
    <t>V Podbranči,  21.11.2016</t>
  </si>
  <si>
    <t xml:space="preserve">Rozpočet    2017 - 2019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</si>
</sst>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.000"/>
    <numFmt numFmtId="201" formatCode="#,##0.0000"/>
    <numFmt numFmtId="202" formatCode="#,##0.00000"/>
    <numFmt numFmtId="203" formatCode="#,##0.0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8"/>
      <color indexed="10"/>
      <name val="Arial"/>
      <family val="2"/>
    </font>
    <font>
      <sz val="8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25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sz val="8"/>
      <color rgb="FFBF1FBF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9" fontId="7" fillId="0" borderId="12" xfId="45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9" fontId="7" fillId="0" borderId="0" xfId="45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7" fillId="0" borderId="12" xfId="45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9" fontId="7" fillId="0" borderId="0" xfId="45" applyFont="1" applyFill="1" applyBorder="1" applyAlignment="1">
      <alignment/>
    </xf>
    <xf numFmtId="3" fontId="7" fillId="0" borderId="29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31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3" fontId="7" fillId="0" borderId="3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14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" fillId="0" borderId="35" xfId="0" applyNumberFormat="1" applyFont="1" applyFill="1" applyBorder="1" applyAlignment="1">
      <alignment/>
    </xf>
    <xf numFmtId="14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 horizontal="left"/>
    </xf>
    <xf numFmtId="0" fontId="7" fillId="0" borderId="37" xfId="0" applyFont="1" applyFill="1" applyBorder="1" applyAlignment="1">
      <alignment wrapText="1"/>
    </xf>
    <xf numFmtId="2" fontId="7" fillId="0" borderId="36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14" fontId="9" fillId="0" borderId="38" xfId="0" applyNumberFormat="1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0" fontId="9" fillId="0" borderId="29" xfId="0" applyFont="1" applyFill="1" applyBorder="1" applyAlignment="1">
      <alignment wrapText="1"/>
    </xf>
    <xf numFmtId="3" fontId="4" fillId="0" borderId="33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29" xfId="0" applyNumberFormat="1" applyFont="1" applyFill="1" applyBorder="1" applyAlignment="1">
      <alignment/>
    </xf>
    <xf numFmtId="14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3" fontId="7" fillId="0" borderId="29" xfId="0" applyNumberFormat="1" applyFont="1" applyFill="1" applyBorder="1" applyAlignment="1">
      <alignment/>
    </xf>
    <xf numFmtId="0" fontId="11" fillId="0" borderId="38" xfId="0" applyFont="1" applyFill="1" applyBorder="1" applyAlignment="1">
      <alignment/>
    </xf>
    <xf numFmtId="3" fontId="9" fillId="0" borderId="29" xfId="0" applyNumberFormat="1" applyFont="1" applyFill="1" applyBorder="1" applyAlignment="1">
      <alignment horizontal="left"/>
    </xf>
    <xf numFmtId="0" fontId="9" fillId="0" borderId="40" xfId="0" applyFont="1" applyFill="1" applyBorder="1" applyAlignment="1">
      <alignment wrapText="1"/>
    </xf>
    <xf numFmtId="3" fontId="9" fillId="0" borderId="33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9" fontId="7" fillId="0" borderId="29" xfId="0" applyNumberFormat="1" applyFont="1" applyFill="1" applyBorder="1" applyAlignment="1">
      <alignment/>
    </xf>
    <xf numFmtId="10" fontId="7" fillId="0" borderId="29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41" xfId="0" applyFont="1" applyFill="1" applyBorder="1" applyAlignment="1">
      <alignment wrapText="1"/>
    </xf>
    <xf numFmtId="9" fontId="7" fillId="0" borderId="29" xfId="45" applyFont="1" applyFill="1" applyBorder="1" applyAlignment="1">
      <alignment/>
    </xf>
    <xf numFmtId="0" fontId="7" fillId="0" borderId="42" xfId="0" applyFont="1" applyFill="1" applyBorder="1" applyAlignment="1">
      <alignment/>
    </xf>
    <xf numFmtId="9" fontId="9" fillId="0" borderId="29" xfId="45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10" fontId="7" fillId="0" borderId="0" xfId="45" applyNumberFormat="1" applyFont="1" applyFill="1" applyAlignment="1">
      <alignment/>
    </xf>
    <xf numFmtId="0" fontId="7" fillId="0" borderId="40" xfId="0" applyFont="1" applyFill="1" applyBorder="1" applyAlignment="1">
      <alignment wrapText="1"/>
    </xf>
    <xf numFmtId="1" fontId="7" fillId="0" borderId="33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9" fontId="7" fillId="0" borderId="0" xfId="45" applyFont="1" applyFill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7" fontId="0" fillId="0" borderId="0" xfId="33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4" fontId="17" fillId="0" borderId="48" xfId="33" applyNumberFormat="1" applyFon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4" fontId="17" fillId="0" borderId="5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4" fillId="0" borderId="38" xfId="0" applyNumberFormat="1" applyFont="1" applyFill="1" applyBorder="1" applyAlignment="1">
      <alignment/>
    </xf>
    <xf numFmtId="9" fontId="7" fillId="0" borderId="38" xfId="45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11" fillId="0" borderId="29" xfId="0" applyNumberFormat="1" applyFont="1" applyFill="1" applyBorder="1" applyAlignment="1">
      <alignment horizontal="left"/>
    </xf>
    <xf numFmtId="0" fontId="11" fillId="0" borderId="3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9" fontId="18" fillId="0" borderId="0" xfId="45" applyFont="1" applyFill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4" fillId="0" borderId="51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9" fillId="0" borderId="52" xfId="0" applyFont="1" applyFill="1" applyBorder="1" applyAlignment="1">
      <alignment/>
    </xf>
    <xf numFmtId="0" fontId="4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horizontal="left" vertical="center"/>
    </xf>
    <xf numFmtId="0" fontId="7" fillId="33" borderId="55" xfId="0" applyFont="1" applyFill="1" applyBorder="1" applyAlignment="1">
      <alignment vertical="center" wrapText="1"/>
    </xf>
    <xf numFmtId="0" fontId="4" fillId="33" borderId="56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left" vertical="center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wrapText="1"/>
    </xf>
    <xf numFmtId="0" fontId="7" fillId="33" borderId="59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/>
    </xf>
    <xf numFmtId="0" fontId="4" fillId="33" borderId="52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center" wrapText="1"/>
    </xf>
    <xf numFmtId="0" fontId="12" fillId="34" borderId="38" xfId="0" applyFont="1" applyFill="1" applyBorder="1" applyAlignment="1">
      <alignment horizontal="left"/>
    </xf>
    <xf numFmtId="0" fontId="0" fillId="34" borderId="29" xfId="0" applyFont="1" applyFill="1" applyBorder="1" applyAlignment="1">
      <alignment/>
    </xf>
    <xf numFmtId="3" fontId="12" fillId="34" borderId="11" xfId="0" applyNumberFormat="1" applyFont="1" applyFill="1" applyBorder="1" applyAlignment="1">
      <alignment/>
    </xf>
    <xf numFmtId="9" fontId="7" fillId="34" borderId="12" xfId="45" applyFont="1" applyFill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12" fillId="34" borderId="60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7" fillId="35" borderId="15" xfId="0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9" fontId="7" fillId="35" borderId="12" xfId="45" applyFont="1" applyFill="1" applyBorder="1" applyAlignment="1">
      <alignment/>
    </xf>
    <xf numFmtId="0" fontId="7" fillId="35" borderId="0" xfId="0" applyFont="1" applyFill="1" applyAlignment="1">
      <alignment/>
    </xf>
    <xf numFmtId="1" fontId="4" fillId="35" borderId="18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4" fillId="35" borderId="28" xfId="0" applyNumberFormat="1" applyFont="1" applyFill="1" applyBorder="1" applyAlignment="1">
      <alignment/>
    </xf>
    <xf numFmtId="0" fontId="4" fillId="35" borderId="21" xfId="0" applyFont="1" applyFill="1" applyBorder="1" applyAlignment="1">
      <alignment horizontal="left"/>
    </xf>
    <xf numFmtId="0" fontId="4" fillId="35" borderId="22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61" xfId="0" applyFont="1" applyFill="1" applyBorder="1" applyAlignment="1">
      <alignment horizontal="left"/>
    </xf>
    <xf numFmtId="0" fontId="4" fillId="36" borderId="62" xfId="0" applyFont="1" applyFill="1" applyBorder="1" applyAlignment="1">
      <alignment/>
    </xf>
    <xf numFmtId="3" fontId="4" fillId="36" borderId="63" xfId="0" applyNumberFormat="1" applyFont="1" applyFill="1" applyBorder="1" applyAlignment="1">
      <alignment/>
    </xf>
    <xf numFmtId="3" fontId="4" fillId="36" borderId="64" xfId="0" applyNumberFormat="1" applyFont="1" applyFill="1" applyBorder="1" applyAlignment="1">
      <alignment/>
    </xf>
    <xf numFmtId="9" fontId="7" fillId="36" borderId="10" xfId="45" applyFont="1" applyFill="1" applyBorder="1" applyAlignment="1">
      <alignment/>
    </xf>
    <xf numFmtId="0" fontId="7" fillId="36" borderId="0" xfId="0" applyFont="1" applyFill="1" applyAlignment="1">
      <alignment/>
    </xf>
    <xf numFmtId="0" fontId="7" fillId="36" borderId="62" xfId="0" applyFont="1" applyFill="1" applyBorder="1" applyAlignment="1">
      <alignment/>
    </xf>
    <xf numFmtId="3" fontId="4" fillId="36" borderId="60" xfId="0" applyNumberFormat="1" applyFont="1" applyFill="1" applyBorder="1" applyAlignment="1">
      <alignment/>
    </xf>
    <xf numFmtId="9" fontId="7" fillId="36" borderId="65" xfId="45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7" fillId="36" borderId="15" xfId="0" applyFont="1" applyFill="1" applyBorder="1" applyAlignment="1">
      <alignment/>
    </xf>
    <xf numFmtId="3" fontId="4" fillId="36" borderId="18" xfId="0" applyNumberFormat="1" applyFont="1" applyFill="1" applyBorder="1" applyAlignment="1">
      <alignment/>
    </xf>
    <xf numFmtId="3" fontId="7" fillId="36" borderId="12" xfId="45" applyNumberFormat="1" applyFont="1" applyFill="1" applyBorder="1" applyAlignment="1">
      <alignment/>
    </xf>
    <xf numFmtId="0" fontId="4" fillId="33" borderId="6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/>
    </xf>
    <xf numFmtId="0" fontId="4" fillId="33" borderId="67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wrapText="1"/>
    </xf>
    <xf numFmtId="0" fontId="7" fillId="33" borderId="52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58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vertical="center"/>
    </xf>
    <xf numFmtId="0" fontId="4" fillId="33" borderId="57" xfId="0" applyFont="1" applyFill="1" applyBorder="1" applyAlignment="1">
      <alignment horizontal="left" vertical="center"/>
    </xf>
    <xf numFmtId="0" fontId="7" fillId="33" borderId="68" xfId="0" applyFont="1" applyFill="1" applyBorder="1" applyAlignment="1">
      <alignment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7" fillId="33" borderId="70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/>
    </xf>
    <xf numFmtId="0" fontId="18" fillId="0" borderId="29" xfId="0" applyFont="1" applyFill="1" applyBorder="1" applyAlignment="1">
      <alignment horizontal="left"/>
    </xf>
    <xf numFmtId="0" fontId="18" fillId="0" borderId="29" xfId="0" applyFont="1" applyFill="1" applyBorder="1" applyAlignment="1">
      <alignment wrapText="1"/>
    </xf>
    <xf numFmtId="0" fontId="18" fillId="0" borderId="71" xfId="0" applyFont="1" applyFill="1" applyBorder="1" applyAlignment="1">
      <alignment/>
    </xf>
    <xf numFmtId="0" fontId="18" fillId="0" borderId="72" xfId="0" applyFont="1" applyFill="1" applyBorder="1" applyAlignment="1">
      <alignment horizontal="left"/>
    </xf>
    <xf numFmtId="0" fontId="18" fillId="0" borderId="72" xfId="0" applyFont="1" applyFill="1" applyBorder="1" applyAlignment="1">
      <alignment wrapText="1"/>
    </xf>
    <xf numFmtId="0" fontId="16" fillId="33" borderId="52" xfId="0" applyFont="1" applyFill="1" applyBorder="1" applyAlignment="1">
      <alignment/>
    </xf>
    <xf numFmtId="0" fontId="7" fillId="33" borderId="31" xfId="0" applyFont="1" applyFill="1" applyBorder="1" applyAlignment="1">
      <alignment horizontal="left"/>
    </xf>
    <xf numFmtId="0" fontId="7" fillId="33" borderId="31" xfId="0" applyFont="1" applyFill="1" applyBorder="1" applyAlignment="1">
      <alignment wrapText="1"/>
    </xf>
    <xf numFmtId="0" fontId="16" fillId="33" borderId="73" xfId="0" applyFont="1" applyFill="1" applyBorder="1" applyAlignment="1">
      <alignment/>
    </xf>
    <xf numFmtId="0" fontId="13" fillId="33" borderId="74" xfId="0" applyFont="1" applyFill="1" applyBorder="1" applyAlignment="1">
      <alignment horizontal="left"/>
    </xf>
    <xf numFmtId="0" fontId="13" fillId="33" borderId="74" xfId="0" applyFont="1" applyFill="1" applyBorder="1" applyAlignment="1">
      <alignment wrapText="1"/>
    </xf>
    <xf numFmtId="3" fontId="13" fillId="33" borderId="75" xfId="0" applyNumberFormat="1" applyFont="1" applyFill="1" applyBorder="1" applyAlignment="1">
      <alignment/>
    </xf>
    <xf numFmtId="9" fontId="7" fillId="33" borderId="0" xfId="45" applyFont="1" applyFill="1" applyAlignment="1">
      <alignment/>
    </xf>
    <xf numFmtId="3" fontId="13" fillId="33" borderId="65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12" fillId="33" borderId="76" xfId="0" applyFont="1" applyFill="1" applyBorder="1" applyAlignment="1">
      <alignment horizontal="left"/>
    </xf>
    <xf numFmtId="0" fontId="7" fillId="33" borderId="77" xfId="0" applyFont="1" applyFill="1" applyBorder="1" applyAlignment="1">
      <alignment/>
    </xf>
    <xf numFmtId="3" fontId="12" fillId="33" borderId="60" xfId="0" applyNumberFormat="1" applyFont="1" applyFill="1" applyBorder="1" applyAlignment="1">
      <alignment/>
    </xf>
    <xf numFmtId="9" fontId="7" fillId="33" borderId="65" xfId="45" applyFont="1" applyFill="1" applyBorder="1" applyAlignment="1">
      <alignment/>
    </xf>
    <xf numFmtId="0" fontId="0" fillId="33" borderId="0" xfId="0" applyFont="1" applyFill="1" applyAlignment="1">
      <alignment/>
    </xf>
    <xf numFmtId="0" fontId="12" fillId="34" borderId="78" xfId="0" applyFont="1" applyFill="1" applyBorder="1" applyAlignment="1">
      <alignment horizontal="left"/>
    </xf>
    <xf numFmtId="0" fontId="12" fillId="34" borderId="78" xfId="0" applyFont="1" applyFill="1" applyBorder="1" applyAlignment="1">
      <alignment wrapText="1"/>
    </xf>
    <xf numFmtId="3" fontId="1" fillId="34" borderId="79" xfId="0" applyNumberFormat="1" applyFont="1" applyFill="1" applyBorder="1" applyAlignment="1">
      <alignment/>
    </xf>
    <xf numFmtId="3" fontId="1" fillId="34" borderId="80" xfId="0" applyNumberFormat="1" applyFont="1" applyFill="1" applyBorder="1" applyAlignment="1">
      <alignment/>
    </xf>
    <xf numFmtId="3" fontId="1" fillId="34" borderId="60" xfId="0" applyNumberFormat="1" applyFont="1" applyFill="1" applyBorder="1" applyAlignment="1">
      <alignment/>
    </xf>
    <xf numFmtId="9" fontId="7" fillId="34" borderId="0" xfId="45" applyFont="1" applyFill="1" applyAlignment="1">
      <alignment/>
    </xf>
    <xf numFmtId="0" fontId="7" fillId="34" borderId="0" xfId="0" applyFont="1" applyFill="1" applyAlignment="1">
      <alignment/>
    </xf>
    <xf numFmtId="0" fontId="12" fillId="34" borderId="76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2" fillId="34" borderId="29" xfId="0" applyFont="1" applyFill="1" applyBorder="1" applyAlignment="1">
      <alignment horizontal="left"/>
    </xf>
    <xf numFmtId="0" fontId="12" fillId="34" borderId="29" xfId="0" applyFont="1" applyFill="1" applyBorder="1" applyAlignment="1">
      <alignment wrapText="1"/>
    </xf>
    <xf numFmtId="3" fontId="12" fillId="34" borderId="33" xfId="0" applyNumberFormat="1" applyFont="1" applyFill="1" applyBorder="1" applyAlignment="1">
      <alignment/>
    </xf>
    <xf numFmtId="3" fontId="12" fillId="34" borderId="39" xfId="0" applyNumberFormat="1" applyFont="1" applyFill="1" applyBorder="1" applyAlignment="1">
      <alignment/>
    </xf>
    <xf numFmtId="9" fontId="18" fillId="34" borderId="0" xfId="45" applyFont="1" applyFill="1" applyAlignment="1">
      <alignment/>
    </xf>
    <xf numFmtId="3" fontId="12" fillId="34" borderId="11" xfId="0" applyNumberFormat="1" applyFont="1" applyFill="1" applyBorder="1" applyAlignment="1">
      <alignment/>
    </xf>
    <xf numFmtId="0" fontId="4" fillId="36" borderId="61" xfId="0" applyFont="1" applyFill="1" applyBorder="1" applyAlignment="1">
      <alignment/>
    </xf>
    <xf numFmtId="0" fontId="7" fillId="36" borderId="62" xfId="0" applyFont="1" applyFill="1" applyBorder="1" applyAlignment="1">
      <alignment horizontal="left"/>
    </xf>
    <xf numFmtId="0" fontId="4" fillId="36" borderId="62" xfId="0" applyFont="1" applyFill="1" applyBorder="1" applyAlignment="1">
      <alignment wrapText="1"/>
    </xf>
    <xf numFmtId="3" fontId="4" fillId="36" borderId="79" xfId="0" applyNumberFormat="1" applyFont="1" applyFill="1" applyBorder="1" applyAlignment="1">
      <alignment/>
    </xf>
    <xf numFmtId="3" fontId="4" fillId="36" borderId="80" xfId="0" applyNumberFormat="1" applyFont="1" applyFill="1" applyBorder="1" applyAlignment="1">
      <alignment/>
    </xf>
    <xf numFmtId="9" fontId="7" fillId="36" borderId="10" xfId="45" applyFont="1" applyFill="1" applyBorder="1" applyAlignment="1">
      <alignment/>
    </xf>
    <xf numFmtId="3" fontId="4" fillId="36" borderId="6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4" fillId="36" borderId="61" xfId="0" applyFont="1" applyFill="1" applyBorder="1" applyAlignment="1">
      <alignment vertical="center"/>
    </xf>
    <xf numFmtId="0" fontId="4" fillId="36" borderId="62" xfId="0" applyFont="1" applyFill="1" applyBorder="1" applyAlignment="1">
      <alignment horizontal="left" vertical="center"/>
    </xf>
    <xf numFmtId="0" fontId="4" fillId="36" borderId="62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/>
    </xf>
    <xf numFmtId="0" fontId="8" fillId="36" borderId="51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3" fontId="1" fillId="36" borderId="75" xfId="0" applyNumberFormat="1" applyFont="1" applyFill="1" applyBorder="1" applyAlignment="1">
      <alignment/>
    </xf>
    <xf numFmtId="3" fontId="1" fillId="36" borderId="81" xfId="0" applyNumberFormat="1" applyFont="1" applyFill="1" applyBorder="1" applyAlignment="1">
      <alignment/>
    </xf>
    <xf numFmtId="3" fontId="1" fillId="36" borderId="65" xfId="0" applyNumberFormat="1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29" xfId="0" applyFont="1" applyFill="1" applyBorder="1" applyAlignment="1">
      <alignment horizontal="left"/>
    </xf>
    <xf numFmtId="0" fontId="9" fillId="35" borderId="29" xfId="0" applyFont="1" applyFill="1" applyBorder="1" applyAlignment="1">
      <alignment wrapText="1"/>
    </xf>
    <xf numFmtId="3" fontId="4" fillId="35" borderId="33" xfId="0" applyNumberFormat="1" applyFont="1" applyFill="1" applyBorder="1" applyAlignment="1">
      <alignment/>
    </xf>
    <xf numFmtId="3" fontId="4" fillId="35" borderId="39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9" fontId="7" fillId="35" borderId="29" xfId="45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3" fontId="7" fillId="35" borderId="0" xfId="0" applyNumberFormat="1" applyFont="1" applyFill="1" applyAlignment="1">
      <alignment/>
    </xf>
    <xf numFmtId="14" fontId="9" fillId="35" borderId="38" xfId="0" applyNumberFormat="1" applyFont="1" applyFill="1" applyBorder="1" applyAlignment="1">
      <alignment/>
    </xf>
    <xf numFmtId="3" fontId="4" fillId="35" borderId="38" xfId="0" applyNumberFormat="1" applyFont="1" applyFill="1" applyBorder="1" applyAlignment="1">
      <alignment/>
    </xf>
    <xf numFmtId="0" fontId="4" fillId="35" borderId="29" xfId="0" applyFont="1" applyFill="1" applyBorder="1" applyAlignment="1">
      <alignment horizontal="left"/>
    </xf>
    <xf numFmtId="3" fontId="9" fillId="35" borderId="11" xfId="0" applyNumberFormat="1" applyFont="1" applyFill="1" applyBorder="1" applyAlignment="1">
      <alignment/>
    </xf>
    <xf numFmtId="0" fontId="4" fillId="35" borderId="38" xfId="0" applyNumberFormat="1" applyFont="1" applyFill="1" applyBorder="1" applyAlignment="1">
      <alignment/>
    </xf>
    <xf numFmtId="0" fontId="7" fillId="35" borderId="29" xfId="0" applyFont="1" applyFill="1" applyBorder="1" applyAlignment="1">
      <alignment horizontal="left"/>
    </xf>
    <xf numFmtId="0" fontId="7" fillId="35" borderId="29" xfId="0" applyFont="1" applyFill="1" applyBorder="1" applyAlignment="1">
      <alignment wrapText="1"/>
    </xf>
    <xf numFmtId="0" fontId="9" fillId="35" borderId="82" xfId="0" applyFont="1" applyFill="1" applyBorder="1" applyAlignment="1">
      <alignment/>
    </xf>
    <xf numFmtId="0" fontId="7" fillId="35" borderId="83" xfId="0" applyFont="1" applyFill="1" applyBorder="1" applyAlignment="1">
      <alignment horizontal="left"/>
    </xf>
    <xf numFmtId="0" fontId="7" fillId="35" borderId="41" xfId="0" applyFont="1" applyFill="1" applyBorder="1" applyAlignment="1">
      <alignment wrapText="1"/>
    </xf>
    <xf numFmtId="0" fontId="4" fillId="35" borderId="41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4" fillId="0" borderId="29" xfId="0" applyFont="1" applyFill="1" applyBorder="1" applyAlignment="1">
      <alignment/>
    </xf>
    <xf numFmtId="9" fontId="4" fillId="0" borderId="29" xfId="45" applyFont="1" applyFill="1" applyBorder="1" applyAlignment="1">
      <alignment/>
    </xf>
    <xf numFmtId="3" fontId="4" fillId="0" borderId="29" xfId="0" applyNumberFormat="1" applyFont="1" applyFill="1" applyBorder="1" applyAlignment="1">
      <alignment horizontal="left"/>
    </xf>
    <xf numFmtId="9" fontId="7" fillId="35" borderId="0" xfId="45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3" fontId="4" fillId="35" borderId="13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7" fillId="35" borderId="12" xfId="0" applyNumberFormat="1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4" fillId="35" borderId="14" xfId="0" applyNumberFormat="1" applyFont="1" applyFill="1" applyBorder="1" applyAlignment="1">
      <alignment horizontal="left"/>
    </xf>
    <xf numFmtId="3" fontId="7" fillId="35" borderId="18" xfId="0" applyNumberFormat="1" applyFont="1" applyFill="1" applyBorder="1" applyAlignment="1">
      <alignment/>
    </xf>
    <xf numFmtId="3" fontId="7" fillId="35" borderId="12" xfId="45" applyNumberFormat="1" applyFont="1" applyFill="1" applyBorder="1" applyAlignment="1">
      <alignment/>
    </xf>
    <xf numFmtId="49" fontId="9" fillId="0" borderId="38" xfId="0" applyNumberFormat="1" applyFont="1" applyFill="1" applyBorder="1" applyAlignment="1">
      <alignment/>
    </xf>
    <xf numFmtId="0" fontId="12" fillId="34" borderId="71" xfId="0" applyFont="1" applyFill="1" applyBorder="1" applyAlignment="1">
      <alignment horizontal="left"/>
    </xf>
    <xf numFmtId="0" fontId="0" fillId="34" borderId="72" xfId="0" applyFont="1" applyFill="1" applyBorder="1" applyAlignment="1">
      <alignment/>
    </xf>
    <xf numFmtId="3" fontId="12" fillId="34" borderId="2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37" borderId="38" xfId="0" applyFont="1" applyFill="1" applyBorder="1" applyAlignment="1">
      <alignment/>
    </xf>
    <xf numFmtId="3" fontId="4" fillId="37" borderId="29" xfId="0" applyNumberFormat="1" applyFont="1" applyFill="1" applyBorder="1" applyAlignment="1">
      <alignment horizontal="left"/>
    </xf>
    <xf numFmtId="0" fontId="4" fillId="37" borderId="29" xfId="0" applyFont="1" applyFill="1" applyBorder="1" applyAlignment="1">
      <alignment wrapText="1"/>
    </xf>
    <xf numFmtId="0" fontId="7" fillId="37" borderId="0" xfId="0" applyFont="1" applyFill="1" applyAlignment="1">
      <alignment/>
    </xf>
    <xf numFmtId="3" fontId="7" fillId="37" borderId="0" xfId="0" applyNumberFormat="1" applyFont="1" applyFill="1" applyAlignment="1">
      <alignment/>
    </xf>
    <xf numFmtId="14" fontId="4" fillId="37" borderId="38" xfId="0" applyNumberFormat="1" applyFont="1" applyFill="1" applyBorder="1" applyAlignment="1">
      <alignment/>
    </xf>
    <xf numFmtId="0" fontId="4" fillId="37" borderId="29" xfId="0" applyFont="1" applyFill="1" applyBorder="1" applyAlignment="1">
      <alignment horizontal="left"/>
    </xf>
    <xf numFmtId="3" fontId="4" fillId="37" borderId="29" xfId="0" applyNumberFormat="1" applyFont="1" applyFill="1" applyBorder="1" applyAlignment="1">
      <alignment/>
    </xf>
    <xf numFmtId="0" fontId="4" fillId="37" borderId="29" xfId="0" applyFont="1" applyFill="1" applyBorder="1" applyAlignment="1">
      <alignment/>
    </xf>
    <xf numFmtId="9" fontId="4" fillId="37" borderId="29" xfId="45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3" fontId="4" fillId="37" borderId="0" xfId="0" applyNumberFormat="1" applyFont="1" applyFill="1" applyAlignment="1">
      <alignment/>
    </xf>
    <xf numFmtId="3" fontId="4" fillId="38" borderId="29" xfId="0" applyNumberFormat="1" applyFont="1" applyFill="1" applyBorder="1" applyAlignment="1">
      <alignment/>
    </xf>
    <xf numFmtId="0" fontId="4" fillId="38" borderId="29" xfId="0" applyFont="1" applyFill="1" applyBorder="1" applyAlignment="1">
      <alignment/>
    </xf>
    <xf numFmtId="9" fontId="4" fillId="38" borderId="29" xfId="45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3" fontId="4" fillId="38" borderId="0" xfId="0" applyNumberFormat="1" applyFont="1" applyFill="1" applyAlignment="1">
      <alignment/>
    </xf>
    <xf numFmtId="14" fontId="4" fillId="38" borderId="38" xfId="0" applyNumberFormat="1" applyFont="1" applyFill="1" applyBorder="1" applyAlignment="1">
      <alignment/>
    </xf>
    <xf numFmtId="0" fontId="7" fillId="38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/>
    </xf>
    <xf numFmtId="3" fontId="7" fillId="0" borderId="42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left"/>
    </xf>
    <xf numFmtId="0" fontId="7" fillId="38" borderId="29" xfId="0" applyFont="1" applyFill="1" applyBorder="1" applyAlignment="1">
      <alignment wrapText="1"/>
    </xf>
    <xf numFmtId="3" fontId="7" fillId="38" borderId="11" xfId="0" applyNumberFormat="1" applyFont="1" applyFill="1" applyBorder="1" applyAlignment="1">
      <alignment/>
    </xf>
    <xf numFmtId="3" fontId="9" fillId="0" borderId="84" xfId="0" applyNumberFormat="1" applyFont="1" applyFill="1" applyBorder="1" applyAlignment="1">
      <alignment/>
    </xf>
    <xf numFmtId="0" fontId="11" fillId="35" borderId="29" xfId="0" applyFont="1" applyFill="1" applyBorder="1" applyAlignment="1">
      <alignment horizontal="left"/>
    </xf>
    <xf numFmtId="3" fontId="4" fillId="38" borderId="33" xfId="0" applyNumberFormat="1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7" fillId="38" borderId="0" xfId="0" applyFont="1" applyFill="1" applyBorder="1" applyAlignment="1">
      <alignment wrapText="1"/>
    </xf>
    <xf numFmtId="3" fontId="4" fillId="38" borderId="34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3" fontId="4" fillId="38" borderId="42" xfId="0" applyNumberFormat="1" applyFont="1" applyFill="1" applyBorder="1" applyAlignment="1">
      <alignment/>
    </xf>
    <xf numFmtId="3" fontId="4" fillId="38" borderId="24" xfId="0" applyNumberFormat="1" applyFont="1" applyFill="1" applyBorder="1" applyAlignment="1">
      <alignment/>
    </xf>
    <xf numFmtId="3" fontId="7" fillId="38" borderId="0" xfId="0" applyNumberFormat="1" applyFont="1" applyFill="1" applyAlignment="1">
      <alignment/>
    </xf>
    <xf numFmtId="0" fontId="9" fillId="35" borderId="29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4" fillId="35" borderId="29" xfId="0" applyNumberFormat="1" applyFont="1" applyFill="1" applyBorder="1" applyAlignment="1">
      <alignment/>
    </xf>
    <xf numFmtId="0" fontId="9" fillId="38" borderId="38" xfId="0" applyFont="1" applyFill="1" applyBorder="1" applyAlignment="1">
      <alignment/>
    </xf>
    <xf numFmtId="3" fontId="7" fillId="38" borderId="33" xfId="0" applyNumberFormat="1" applyFont="1" applyFill="1" applyBorder="1" applyAlignment="1">
      <alignment/>
    </xf>
    <xf numFmtId="3" fontId="7" fillId="38" borderId="29" xfId="0" applyNumberFormat="1" applyFont="1" applyFill="1" applyBorder="1" applyAlignment="1">
      <alignment/>
    </xf>
    <xf numFmtId="9" fontId="7" fillId="38" borderId="29" xfId="45" applyFont="1" applyFill="1" applyBorder="1" applyAlignment="1">
      <alignment/>
    </xf>
    <xf numFmtId="3" fontId="7" fillId="38" borderId="11" xfId="0" applyNumberFormat="1" applyFont="1" applyFill="1" applyBorder="1" applyAlignment="1">
      <alignment/>
    </xf>
    <xf numFmtId="0" fontId="7" fillId="38" borderId="0" xfId="0" applyFont="1" applyFill="1" applyAlignment="1">
      <alignment/>
    </xf>
    <xf numFmtId="3" fontId="7" fillId="38" borderId="0" xfId="0" applyNumberFormat="1" applyFont="1" applyFill="1" applyAlignment="1">
      <alignment/>
    </xf>
    <xf numFmtId="0" fontId="7" fillId="38" borderId="29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9" fontId="7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4" fillId="37" borderId="11" xfId="0" applyNumberFormat="1" applyFont="1" applyFill="1" applyBorder="1" applyAlignment="1">
      <alignment/>
    </xf>
    <xf numFmtId="3" fontId="9" fillId="37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8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9" fontId="7" fillId="0" borderId="10" xfId="45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36" borderId="3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82" xfId="0" applyFont="1" applyFill="1" applyBorder="1" applyAlignment="1">
      <alignment/>
    </xf>
    <xf numFmtId="0" fontId="9" fillId="35" borderId="43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33" borderId="58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14" fontId="4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left"/>
    </xf>
    <xf numFmtId="0" fontId="7" fillId="35" borderId="15" xfId="0" applyFont="1" applyFill="1" applyBorder="1" applyAlignment="1">
      <alignment wrapText="1"/>
    </xf>
    <xf numFmtId="3" fontId="8" fillId="35" borderId="33" xfId="0" applyNumberFormat="1" applyFont="1" applyFill="1" applyBorder="1" applyAlignment="1">
      <alignment/>
    </xf>
    <xf numFmtId="3" fontId="8" fillId="35" borderId="39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7" fillId="38" borderId="24" xfId="0" applyNumberFormat="1" applyFont="1" applyFill="1" applyBorder="1" applyAlignment="1">
      <alignment/>
    </xf>
    <xf numFmtId="1" fontId="9" fillId="35" borderId="43" xfId="0" applyNumberFormat="1" applyFont="1" applyFill="1" applyBorder="1" applyAlignment="1">
      <alignment/>
    </xf>
    <xf numFmtId="1" fontId="7" fillId="0" borderId="86" xfId="0" applyNumberFormat="1" applyFont="1" applyFill="1" applyBorder="1" applyAlignment="1">
      <alignment/>
    </xf>
    <xf numFmtId="1" fontId="7" fillId="38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9" fillId="35" borderId="18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" fontId="7" fillId="38" borderId="18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1" fontId="9" fillId="35" borderId="18" xfId="0" applyNumberFormat="1" applyFont="1" applyFill="1" applyBorder="1" applyAlignment="1">
      <alignment horizontal="right"/>
    </xf>
    <xf numFmtId="1" fontId="9" fillId="35" borderId="17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4" fillId="35" borderId="18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1" fontId="4" fillId="36" borderId="63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1" fontId="7" fillId="35" borderId="11" xfId="0" applyNumberFormat="1" applyFont="1" applyFill="1" applyBorder="1" applyAlignment="1">
      <alignment/>
    </xf>
    <xf numFmtId="1" fontId="4" fillId="36" borderId="18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12" fillId="34" borderId="11" xfId="0" applyNumberFormat="1" applyFont="1" applyFill="1" applyBorder="1" applyAlignment="1">
      <alignment/>
    </xf>
    <xf numFmtId="1" fontId="12" fillId="34" borderId="24" xfId="0" applyNumberFormat="1" applyFont="1" applyFill="1" applyBorder="1" applyAlignment="1">
      <alignment/>
    </xf>
    <xf numFmtId="1" fontId="4" fillId="36" borderId="60" xfId="0" applyNumberFormat="1" applyFont="1" applyFill="1" applyBorder="1" applyAlignment="1">
      <alignment/>
    </xf>
    <xf numFmtId="1" fontId="12" fillId="33" borderId="60" xfId="0" applyNumberFormat="1" applyFont="1" applyFill="1" applyBorder="1" applyAlignment="1">
      <alignment/>
    </xf>
    <xf numFmtId="0" fontId="22" fillId="0" borderId="38" xfId="0" applyFont="1" applyFill="1" applyBorder="1" applyAlignment="1">
      <alignment/>
    </xf>
    <xf numFmtId="3" fontId="22" fillId="35" borderId="29" xfId="0" applyNumberFormat="1" applyFont="1" applyFill="1" applyBorder="1" applyAlignment="1">
      <alignment/>
    </xf>
    <xf numFmtId="0" fontId="22" fillId="35" borderId="29" xfId="0" applyFont="1" applyFill="1" applyBorder="1" applyAlignment="1">
      <alignment/>
    </xf>
    <xf numFmtId="9" fontId="22" fillId="35" borderId="29" xfId="45" applyFont="1" applyFill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22" fillId="35" borderId="0" xfId="0" applyFont="1" applyFill="1" applyAlignment="1">
      <alignment/>
    </xf>
    <xf numFmtId="3" fontId="22" fillId="35" borderId="0" xfId="0" applyNumberFormat="1" applyFont="1" applyFill="1" applyAlignment="1">
      <alignment/>
    </xf>
    <xf numFmtId="0" fontId="4" fillId="0" borderId="29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4" fontId="7" fillId="38" borderId="1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38" borderId="18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 horizontal="right"/>
    </xf>
    <xf numFmtId="4" fontId="9" fillId="35" borderId="1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4" fillId="36" borderId="63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6" borderId="60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4" fillId="36" borderId="18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4" fontId="12" fillId="34" borderId="24" xfId="0" applyNumberFormat="1" applyFont="1" applyFill="1" applyBorder="1" applyAlignment="1">
      <alignment/>
    </xf>
    <xf numFmtId="0" fontId="7" fillId="38" borderId="15" xfId="0" applyFont="1" applyFill="1" applyBorder="1" applyAlignment="1">
      <alignment/>
    </xf>
    <xf numFmtId="3" fontId="4" fillId="38" borderId="17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9" fontId="7" fillId="38" borderId="12" xfId="45" applyFont="1" applyFill="1" applyBorder="1" applyAlignment="1">
      <alignment/>
    </xf>
    <xf numFmtId="0" fontId="7" fillId="38" borderId="0" xfId="0" applyFont="1" applyFill="1" applyAlignment="1">
      <alignment/>
    </xf>
    <xf numFmtId="0" fontId="7" fillId="38" borderId="87" xfId="0" applyFont="1" applyFill="1" applyBorder="1" applyAlignment="1">
      <alignment horizontal="left"/>
    </xf>
    <xf numFmtId="0" fontId="7" fillId="38" borderId="14" xfId="0" applyFont="1" applyFill="1" applyBorder="1" applyAlignment="1">
      <alignment horizontal="left"/>
    </xf>
    <xf numFmtId="4" fontId="12" fillId="33" borderId="60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2" fillId="34" borderId="60" xfId="0" applyNumberFormat="1" applyFont="1" applyFill="1" applyBorder="1" applyAlignment="1">
      <alignment/>
    </xf>
    <xf numFmtId="4" fontId="13" fillId="33" borderId="65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7" fillId="0" borderId="85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4" fontId="7" fillId="38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7" fillId="38" borderId="11" xfId="0" applyNumberFormat="1" applyFont="1" applyFill="1" applyBorder="1" applyAlignment="1">
      <alignment/>
    </xf>
    <xf numFmtId="4" fontId="8" fillId="35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9" fillId="37" borderId="11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38" borderId="24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3" fontId="7" fillId="0" borderId="88" xfId="0" applyNumberFormat="1" applyFont="1" applyFill="1" applyBorder="1" applyAlignment="1">
      <alignment horizontal="left"/>
    </xf>
    <xf numFmtId="0" fontId="7" fillId="0" borderId="89" xfId="0" applyFont="1" applyFill="1" applyBorder="1" applyAlignment="1">
      <alignment/>
    </xf>
    <xf numFmtId="2" fontId="7" fillId="0" borderId="86" xfId="0" applyNumberFormat="1" applyFont="1" applyFill="1" applyBorder="1" applyAlignment="1">
      <alignment/>
    </xf>
    <xf numFmtId="4" fontId="1" fillId="36" borderId="65" xfId="0" applyNumberFormat="1" applyFont="1" applyFill="1" applyBorder="1" applyAlignment="1">
      <alignment/>
    </xf>
    <xf numFmtId="3" fontId="18" fillId="39" borderId="11" xfId="0" applyNumberFormat="1" applyFont="1" applyFill="1" applyBorder="1" applyAlignment="1">
      <alignment/>
    </xf>
    <xf numFmtId="1" fontId="18" fillId="39" borderId="11" xfId="0" applyNumberFormat="1" applyFont="1" applyFill="1" applyBorder="1" applyAlignment="1">
      <alignment/>
    </xf>
    <xf numFmtId="1" fontId="7" fillId="38" borderId="17" xfId="0" applyNumberFormat="1" applyFont="1" applyFill="1" applyBorder="1" applyAlignment="1">
      <alignment/>
    </xf>
    <xf numFmtId="0" fontId="7" fillId="38" borderId="15" xfId="0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0" fontId="9" fillId="0" borderId="29" xfId="0" applyFont="1" applyFill="1" applyBorder="1" applyAlignment="1">
      <alignment wrapText="1"/>
    </xf>
    <xf numFmtId="3" fontId="7" fillId="38" borderId="29" xfId="0" applyNumberFormat="1" applyFont="1" applyFill="1" applyBorder="1" applyAlignment="1">
      <alignment horizontal="left"/>
    </xf>
    <xf numFmtId="0" fontId="9" fillId="39" borderId="38" xfId="0" applyFont="1" applyFill="1" applyBorder="1" applyAlignment="1">
      <alignment/>
    </xf>
    <xf numFmtId="3" fontId="7" fillId="39" borderId="29" xfId="0" applyNumberFormat="1" applyFont="1" applyFill="1" applyBorder="1" applyAlignment="1">
      <alignment horizontal="left"/>
    </xf>
    <xf numFmtId="0" fontId="7" fillId="39" borderId="29" xfId="0" applyFont="1" applyFill="1" applyBorder="1" applyAlignment="1">
      <alignment wrapText="1"/>
    </xf>
    <xf numFmtId="3" fontId="7" fillId="39" borderId="33" xfId="0" applyNumberFormat="1" applyFont="1" applyFill="1" applyBorder="1" applyAlignment="1">
      <alignment/>
    </xf>
    <xf numFmtId="0" fontId="7" fillId="39" borderId="29" xfId="0" applyFont="1" applyFill="1" applyBorder="1" applyAlignment="1">
      <alignment/>
    </xf>
    <xf numFmtId="3" fontId="7" fillId="39" borderId="29" xfId="0" applyNumberFormat="1" applyFont="1" applyFill="1" applyBorder="1" applyAlignment="1">
      <alignment/>
    </xf>
    <xf numFmtId="3" fontId="7" fillId="39" borderId="42" xfId="0" applyNumberFormat="1" applyFont="1" applyFill="1" applyBorder="1" applyAlignment="1">
      <alignment/>
    </xf>
    <xf numFmtId="9" fontId="7" fillId="39" borderId="29" xfId="45" applyFont="1" applyFill="1" applyBorder="1" applyAlignment="1">
      <alignment/>
    </xf>
    <xf numFmtId="3" fontId="7" fillId="39" borderId="11" xfId="0" applyNumberFormat="1" applyFont="1" applyFill="1" applyBorder="1" applyAlignment="1">
      <alignment/>
    </xf>
    <xf numFmtId="0" fontId="7" fillId="39" borderId="0" xfId="0" applyFont="1" applyFill="1" applyAlignment="1">
      <alignment/>
    </xf>
    <xf numFmtId="3" fontId="7" fillId="39" borderId="0" xfId="0" applyNumberFormat="1" applyFont="1" applyFill="1" applyAlignment="1">
      <alignment/>
    </xf>
    <xf numFmtId="4" fontId="7" fillId="39" borderId="11" xfId="0" applyNumberFormat="1" applyFont="1" applyFill="1" applyBorder="1" applyAlignment="1">
      <alignment/>
    </xf>
    <xf numFmtId="4" fontId="9" fillId="40" borderId="11" xfId="0" applyNumberFormat="1" applyFont="1" applyFill="1" applyBorder="1" applyAlignment="1">
      <alignment/>
    </xf>
    <xf numFmtId="3" fontId="9" fillId="40" borderId="11" xfId="0" applyNumberFormat="1" applyFont="1" applyFill="1" applyBorder="1" applyAlignment="1">
      <alignment/>
    </xf>
    <xf numFmtId="14" fontId="4" fillId="39" borderId="38" xfId="0" applyNumberFormat="1" applyFont="1" applyFill="1" applyBorder="1" applyAlignment="1">
      <alignment/>
    </xf>
    <xf numFmtId="3" fontId="7" fillId="38" borderId="0" xfId="0" applyNumberFormat="1" applyFont="1" applyFill="1" applyBorder="1" applyAlignment="1">
      <alignment horizontal="left"/>
    </xf>
    <xf numFmtId="14" fontId="9" fillId="39" borderId="38" xfId="0" applyNumberFormat="1" applyFont="1" applyFill="1" applyBorder="1" applyAlignment="1">
      <alignment horizontal="left"/>
    </xf>
    <xf numFmtId="3" fontId="4" fillId="39" borderId="11" xfId="0" applyNumberFormat="1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3" fontId="4" fillId="39" borderId="33" xfId="0" applyNumberFormat="1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0" fontId="4" fillId="33" borderId="5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4" fontId="7" fillId="39" borderId="38" xfId="0" applyNumberFormat="1" applyFont="1" applyFill="1" applyBorder="1" applyAlignment="1">
      <alignment horizontal="left"/>
    </xf>
    <xf numFmtId="3" fontId="22" fillId="39" borderId="29" xfId="0" applyNumberFormat="1" applyFont="1" applyFill="1" applyBorder="1" applyAlignment="1">
      <alignment/>
    </xf>
    <xf numFmtId="0" fontId="22" fillId="39" borderId="29" xfId="0" applyFont="1" applyFill="1" applyBorder="1" applyAlignment="1">
      <alignment/>
    </xf>
    <xf numFmtId="9" fontId="22" fillId="39" borderId="29" xfId="45" applyFont="1" applyFill="1" applyBorder="1" applyAlignment="1">
      <alignment/>
    </xf>
    <xf numFmtId="3" fontId="22" fillId="39" borderId="11" xfId="0" applyNumberFormat="1" applyFont="1" applyFill="1" applyBorder="1" applyAlignment="1">
      <alignment/>
    </xf>
    <xf numFmtId="0" fontId="22" fillId="39" borderId="0" xfId="0" applyFont="1" applyFill="1" applyAlignment="1">
      <alignment/>
    </xf>
    <xf numFmtId="3" fontId="22" fillId="39" borderId="0" xfId="0" applyNumberFormat="1" applyFont="1" applyFill="1" applyAlignment="1">
      <alignment/>
    </xf>
    <xf numFmtId="4" fontId="7" fillId="39" borderId="11" xfId="0" applyNumberFormat="1" applyFont="1" applyFill="1" applyBorder="1" applyAlignment="1">
      <alignment/>
    </xf>
    <xf numFmtId="3" fontId="7" fillId="39" borderId="11" xfId="0" applyNumberFormat="1" applyFont="1" applyFill="1" applyBorder="1" applyAlignment="1">
      <alignment/>
    </xf>
    <xf numFmtId="0" fontId="7" fillId="39" borderId="39" xfId="0" applyFont="1" applyFill="1" applyBorder="1" applyAlignment="1">
      <alignment horizontal="left"/>
    </xf>
    <xf numFmtId="3" fontId="7" fillId="39" borderId="39" xfId="0" applyNumberFormat="1" applyFont="1" applyFill="1" applyBorder="1" applyAlignment="1">
      <alignment horizontal="left"/>
    </xf>
    <xf numFmtId="0" fontId="58" fillId="0" borderId="0" xfId="0" applyFont="1" applyFill="1" applyAlignment="1">
      <alignment/>
    </xf>
    <xf numFmtId="14" fontId="9" fillId="39" borderId="13" xfId="0" applyNumberFormat="1" applyFont="1" applyFill="1" applyBorder="1" applyAlignment="1">
      <alignment/>
    </xf>
    <xf numFmtId="3" fontId="4" fillId="39" borderId="39" xfId="0" applyNumberFormat="1" applyFont="1" applyFill="1" applyBorder="1" applyAlignment="1">
      <alignment/>
    </xf>
    <xf numFmtId="3" fontId="7" fillId="39" borderId="0" xfId="0" applyNumberFormat="1" applyFont="1" applyFill="1" applyBorder="1" applyAlignment="1">
      <alignment horizontal="left"/>
    </xf>
    <xf numFmtId="0" fontId="7" fillId="39" borderId="0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3" fontId="10" fillId="0" borderId="34" xfId="0" applyNumberFormat="1" applyFont="1" applyFill="1" applyBorder="1" applyAlignment="1">
      <alignment/>
    </xf>
    <xf numFmtId="0" fontId="7" fillId="0" borderId="34" xfId="0" applyFont="1" applyFill="1" applyBorder="1" applyAlignment="1">
      <alignment/>
    </xf>
    <xf numFmtId="3" fontId="7" fillId="0" borderId="85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/>
    </xf>
    <xf numFmtId="2" fontId="9" fillId="35" borderId="4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60" fillId="0" borderId="0" xfId="0" applyFont="1" applyFill="1" applyAlignment="1">
      <alignment/>
    </xf>
    <xf numFmtId="4" fontId="4" fillId="0" borderId="2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2" fontId="7" fillId="38" borderId="17" xfId="0" applyNumberFormat="1" applyFont="1" applyFill="1" applyBorder="1" applyAlignment="1">
      <alignment/>
    </xf>
    <xf numFmtId="2" fontId="9" fillId="35" borderId="18" xfId="0" applyNumberFormat="1" applyFont="1" applyFill="1" applyBorder="1" applyAlignment="1">
      <alignment/>
    </xf>
    <xf numFmtId="2" fontId="7" fillId="38" borderId="18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9" fillId="35" borderId="18" xfId="0" applyNumberFormat="1" applyFont="1" applyFill="1" applyBorder="1" applyAlignment="1">
      <alignment horizontal="right"/>
    </xf>
    <xf numFmtId="2" fontId="9" fillId="35" borderId="17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2" fontId="4" fillId="35" borderId="18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4" fillId="36" borderId="63" xfId="0" applyNumberFormat="1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2" fontId="4" fillId="36" borderId="60" xfId="0" applyNumberFormat="1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2" fontId="4" fillId="36" borderId="18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2" fontId="12" fillId="34" borderId="24" xfId="0" applyNumberFormat="1" applyFont="1" applyFill="1" applyBorder="1" applyAlignment="1">
      <alignment/>
    </xf>
    <xf numFmtId="2" fontId="12" fillId="33" borderId="60" xfId="0" applyNumberFormat="1" applyFont="1" applyFill="1" applyBorder="1" applyAlignment="1">
      <alignment/>
    </xf>
    <xf numFmtId="2" fontId="7" fillId="38" borderId="17" xfId="0" applyNumberFormat="1" applyFont="1" applyFill="1" applyBorder="1" applyAlignment="1">
      <alignment/>
    </xf>
    <xf numFmtId="3" fontId="4" fillId="33" borderId="58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5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3" fontId="7" fillId="0" borderId="85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3" fontId="7" fillId="38" borderId="24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9" fillId="0" borderId="11" xfId="0" applyNumberFormat="1" applyFont="1" applyFill="1" applyBorder="1" applyAlignment="1">
      <alignment/>
    </xf>
    <xf numFmtId="3" fontId="61" fillId="0" borderId="11" xfId="0" applyNumberFormat="1" applyFont="1" applyFill="1" applyBorder="1" applyAlignment="1">
      <alignment/>
    </xf>
    <xf numFmtId="3" fontId="9" fillId="40" borderId="11" xfId="0" applyNumberFormat="1" applyFont="1" applyFill="1" applyBorder="1" applyAlignment="1">
      <alignment/>
    </xf>
    <xf numFmtId="14" fontId="9" fillId="35" borderId="38" xfId="0" applyNumberFormat="1" applyFont="1" applyFill="1" applyBorder="1" applyAlignment="1">
      <alignment horizontal="left"/>
    </xf>
    <xf numFmtId="0" fontId="9" fillId="35" borderId="29" xfId="0" applyFont="1" applyFill="1" applyBorder="1" applyAlignment="1">
      <alignment horizontal="left"/>
    </xf>
    <xf numFmtId="14" fontId="9" fillId="0" borderId="38" xfId="0" applyNumberFormat="1" applyFont="1" applyFill="1" applyBorder="1" applyAlignment="1">
      <alignment horizontal="left"/>
    </xf>
    <xf numFmtId="14" fontId="9" fillId="0" borderId="29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8"/>
  <sheetViews>
    <sheetView tabSelected="1" zoomScaleSheetLayoutView="100" zoomScalePageLayoutView="0" workbookViewId="0" topLeftCell="A1">
      <selection activeCell="L1" sqref="L1"/>
    </sheetView>
  </sheetViews>
  <sheetFormatPr defaultColWidth="9.140625" defaultRowHeight="12.75"/>
  <cols>
    <col min="1" max="1" width="8.00390625" style="64" customWidth="1"/>
    <col min="2" max="2" width="52.57421875" style="62" customWidth="1"/>
    <col min="3" max="3" width="10.00390625" style="62" hidden="1" customWidth="1"/>
    <col min="4" max="4" width="9.140625" style="62" hidden="1" customWidth="1"/>
    <col min="5" max="5" width="14.00390625" style="62" hidden="1" customWidth="1"/>
    <col min="6" max="7" width="15.7109375" style="62" hidden="1" customWidth="1"/>
    <col min="8" max="8" width="20.7109375" style="62" hidden="1" customWidth="1"/>
    <col min="9" max="9" width="9.140625" style="62" hidden="1" customWidth="1"/>
    <col min="10" max="10" width="12.00390625" style="62" customWidth="1"/>
    <col min="11" max="11" width="11.28125" style="62" bestFit="1" customWidth="1"/>
    <col min="12" max="12" width="9.140625" style="62" customWidth="1"/>
    <col min="13" max="13" width="10.421875" style="62" customWidth="1"/>
    <col min="14" max="14" width="9.421875" style="62" customWidth="1"/>
    <col min="15" max="15" width="9.8515625" style="62" customWidth="1"/>
    <col min="16" max="16" width="11.140625" style="62" customWidth="1"/>
    <col min="17" max="16384" width="9.140625" style="62" customWidth="1"/>
  </cols>
  <sheetData>
    <row r="1" spans="1:17" s="8" customFormat="1" ht="30" customHeight="1">
      <c r="A1" s="192"/>
      <c r="B1" s="364" t="s">
        <v>408</v>
      </c>
      <c r="C1" s="365"/>
      <c r="D1" s="365"/>
      <c r="E1" s="365"/>
      <c r="F1" s="365"/>
      <c r="G1" s="365"/>
      <c r="H1" s="366"/>
      <c r="I1" s="193"/>
      <c r="J1" s="193"/>
      <c r="K1" s="193"/>
      <c r="L1" s="193"/>
      <c r="M1" s="193"/>
      <c r="N1" s="193"/>
      <c r="O1" s="193"/>
      <c r="P1" s="193"/>
      <c r="Q1" s="190"/>
    </row>
    <row r="2" spans="1:17" s="8" customFormat="1" ht="11.25" customHeight="1" thickBot="1">
      <c r="A2" s="181"/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90"/>
    </row>
    <row r="3" spans="1:16" s="16" customFormat="1" ht="9" customHeight="1" thickBot="1" thickTop="1">
      <c r="A3" s="28"/>
      <c r="B3" s="29"/>
      <c r="C3" s="30"/>
      <c r="D3" s="30"/>
      <c r="E3" s="30"/>
      <c r="F3" s="29"/>
      <c r="G3" s="31"/>
      <c r="H3" s="32"/>
      <c r="K3" s="479"/>
      <c r="M3" s="191"/>
      <c r="N3" s="191"/>
      <c r="O3" s="191"/>
      <c r="P3" s="191"/>
    </row>
    <row r="4" spans="1:16" s="16" customFormat="1" ht="33" customHeight="1" thickTop="1">
      <c r="A4" s="203" t="s">
        <v>21</v>
      </c>
      <c r="B4" s="204"/>
      <c r="C4" s="205" t="s">
        <v>38</v>
      </c>
      <c r="D4" s="205">
        <v>2006</v>
      </c>
      <c r="E4" s="205" t="s">
        <v>39</v>
      </c>
      <c r="F4" s="206" t="s">
        <v>37</v>
      </c>
      <c r="G4" s="207"/>
      <c r="H4" s="205" t="s">
        <v>61</v>
      </c>
      <c r="I4" s="208"/>
      <c r="J4" s="209" t="s">
        <v>363</v>
      </c>
      <c r="K4" s="205" t="s">
        <v>396</v>
      </c>
      <c r="L4" s="564" t="s">
        <v>364</v>
      </c>
      <c r="M4" s="564" t="s">
        <v>393</v>
      </c>
      <c r="N4" s="564" t="s">
        <v>365</v>
      </c>
      <c r="O4" s="564" t="s">
        <v>394</v>
      </c>
      <c r="P4" s="564" t="s">
        <v>395</v>
      </c>
    </row>
    <row r="5" spans="1:16" s="16" customFormat="1" ht="12" customHeight="1">
      <c r="A5" s="33"/>
      <c r="B5" s="34"/>
      <c r="C5" s="26"/>
      <c r="D5" s="26"/>
      <c r="E5" s="26"/>
      <c r="F5" s="26"/>
      <c r="G5" s="19"/>
      <c r="H5" s="35"/>
      <c r="J5" s="478" t="s">
        <v>195</v>
      </c>
      <c r="K5" s="436" t="s">
        <v>195</v>
      </c>
      <c r="L5" s="35" t="s">
        <v>195</v>
      </c>
      <c r="M5" s="35" t="s">
        <v>195</v>
      </c>
      <c r="N5" s="35" t="s">
        <v>195</v>
      </c>
      <c r="O5" s="35" t="s">
        <v>195</v>
      </c>
      <c r="P5" s="35" t="s">
        <v>195</v>
      </c>
    </row>
    <row r="6" spans="1:17" s="16" customFormat="1" ht="11.25">
      <c r="A6" s="224" t="s">
        <v>120</v>
      </c>
      <c r="B6" s="225"/>
      <c r="C6" s="226">
        <f>SUM(C7:C13)</f>
        <v>31480</v>
      </c>
      <c r="D6" s="226">
        <f>SUM(D7:D10)</f>
        <v>26192</v>
      </c>
      <c r="E6" s="226">
        <f>SUM(E7:E13)</f>
        <v>31480</v>
      </c>
      <c r="F6" s="227">
        <f>SUM(F7:F13)</f>
        <v>26116</v>
      </c>
      <c r="G6" s="228">
        <f aca="true" t="shared" si="0" ref="G6:G13">+F6/E6</f>
        <v>0.8296060991105464</v>
      </c>
      <c r="H6" s="226">
        <f>+H7+H9</f>
        <v>33974</v>
      </c>
      <c r="I6" s="229"/>
      <c r="J6" s="437">
        <f>SUM(J7:J9)</f>
        <v>117619.33</v>
      </c>
      <c r="K6" s="590">
        <f aca="true" t="shared" si="1" ref="K6:P6">SUM(K7:K13)</f>
        <v>122542.55</v>
      </c>
      <c r="L6" s="448">
        <f t="shared" si="1"/>
        <v>127030</v>
      </c>
      <c r="M6" s="448">
        <f t="shared" si="1"/>
        <v>134179</v>
      </c>
      <c r="N6" s="448">
        <f t="shared" si="1"/>
        <v>137370</v>
      </c>
      <c r="O6" s="448">
        <f t="shared" si="1"/>
        <v>135070</v>
      </c>
      <c r="P6" s="448">
        <f t="shared" si="1"/>
        <v>136070</v>
      </c>
      <c r="Q6" s="72"/>
    </row>
    <row r="7" spans="1:17" s="38" customFormat="1" ht="11.25">
      <c r="A7" s="363" t="s">
        <v>132</v>
      </c>
      <c r="B7" s="14" t="s">
        <v>110</v>
      </c>
      <c r="C7" s="17">
        <v>26033</v>
      </c>
      <c r="D7" s="17">
        <v>20500</v>
      </c>
      <c r="E7" s="17">
        <v>26033</v>
      </c>
      <c r="F7" s="18">
        <v>22210</v>
      </c>
      <c r="G7" s="19">
        <f t="shared" si="0"/>
        <v>0.8531479276303153</v>
      </c>
      <c r="H7" s="17">
        <v>28552</v>
      </c>
      <c r="J7" s="532">
        <v>85150.68</v>
      </c>
      <c r="K7" s="532">
        <v>96007.17</v>
      </c>
      <c r="L7" s="449">
        <v>99960</v>
      </c>
      <c r="M7" s="449">
        <v>107109</v>
      </c>
      <c r="N7" s="449">
        <v>110300</v>
      </c>
      <c r="O7" s="449">
        <v>108000</v>
      </c>
      <c r="P7" s="449">
        <v>109000</v>
      </c>
      <c r="Q7" s="114"/>
    </row>
    <row r="8" spans="1:17" s="38" customFormat="1" ht="11.25">
      <c r="A8" s="363" t="s">
        <v>318</v>
      </c>
      <c r="B8" s="14" t="s">
        <v>290</v>
      </c>
      <c r="C8" s="17"/>
      <c r="D8" s="17"/>
      <c r="E8" s="17"/>
      <c r="F8" s="18"/>
      <c r="G8" s="19"/>
      <c r="H8" s="17"/>
      <c r="J8" s="480">
        <v>26492.99</v>
      </c>
      <c r="K8" s="599">
        <v>26348.28</v>
      </c>
      <c r="L8" s="450">
        <v>26470</v>
      </c>
      <c r="M8" s="450">
        <v>26470</v>
      </c>
      <c r="N8" s="450">
        <v>26470</v>
      </c>
      <c r="O8" s="450">
        <v>26470</v>
      </c>
      <c r="P8" s="450">
        <v>26470</v>
      </c>
      <c r="Q8" s="114"/>
    </row>
    <row r="9" spans="1:17" s="38" customFormat="1" ht="11.25">
      <c r="A9" s="22">
        <v>121001</v>
      </c>
      <c r="B9" s="14" t="s">
        <v>214</v>
      </c>
      <c r="C9" s="17"/>
      <c r="D9" s="17"/>
      <c r="E9" s="17"/>
      <c r="F9" s="18"/>
      <c r="G9" s="19"/>
      <c r="H9" s="17">
        <f>SUM(H10:H13)</f>
        <v>5422</v>
      </c>
      <c r="J9" s="481">
        <v>5975.66</v>
      </c>
      <c r="K9" s="494">
        <v>187.1</v>
      </c>
      <c r="L9" s="451">
        <v>600</v>
      </c>
      <c r="M9" s="451">
        <v>600</v>
      </c>
      <c r="N9" s="451">
        <v>600</v>
      </c>
      <c r="O9" s="451">
        <v>600</v>
      </c>
      <c r="P9" s="451">
        <v>600</v>
      </c>
      <c r="Q9" s="114"/>
    </row>
    <row r="10" spans="1:17" s="16" customFormat="1" ht="11.25" hidden="1">
      <c r="A10" s="22">
        <v>121001</v>
      </c>
      <c r="B10" s="14" t="s">
        <v>31</v>
      </c>
      <c r="C10" s="17">
        <v>415</v>
      </c>
      <c r="D10" s="17">
        <v>5692</v>
      </c>
      <c r="E10" s="17">
        <v>415</v>
      </c>
      <c r="F10" s="26">
        <v>402</v>
      </c>
      <c r="G10" s="19">
        <f t="shared" si="0"/>
        <v>0.9686746987951808</v>
      </c>
      <c r="H10" s="17">
        <v>410</v>
      </c>
      <c r="I10" s="39"/>
      <c r="J10" s="481"/>
      <c r="K10" s="494"/>
      <c r="L10" s="451"/>
      <c r="M10" s="451"/>
      <c r="N10" s="451"/>
      <c r="O10" s="451"/>
      <c r="P10" s="451"/>
      <c r="Q10" s="72"/>
    </row>
    <row r="11" spans="1:17" s="16" customFormat="1" ht="11.25" hidden="1">
      <c r="A11" s="22">
        <v>121002</v>
      </c>
      <c r="B11" s="14" t="s">
        <v>32</v>
      </c>
      <c r="C11" s="20">
        <v>857</v>
      </c>
      <c r="D11" s="21"/>
      <c r="E11" s="20">
        <v>857</v>
      </c>
      <c r="F11" s="26">
        <v>787</v>
      </c>
      <c r="G11" s="19">
        <f t="shared" si="0"/>
        <v>0.9183197199533255</v>
      </c>
      <c r="H11" s="20">
        <v>837</v>
      </c>
      <c r="J11" s="481"/>
      <c r="K11" s="494"/>
      <c r="L11" s="451"/>
      <c r="M11" s="451"/>
      <c r="N11" s="451"/>
      <c r="O11" s="451"/>
      <c r="P11" s="451"/>
      <c r="Q11" s="72"/>
    </row>
    <row r="12" spans="1:17" s="16" customFormat="1" ht="11.25" hidden="1">
      <c r="A12" s="22" t="s">
        <v>33</v>
      </c>
      <c r="B12" s="14" t="s">
        <v>34</v>
      </c>
      <c r="C12" s="20">
        <v>1849</v>
      </c>
      <c r="D12" s="21"/>
      <c r="E12" s="20">
        <v>1849</v>
      </c>
      <c r="F12" s="26">
        <v>1085</v>
      </c>
      <c r="G12" s="19">
        <f t="shared" si="0"/>
        <v>0.586803677663602</v>
      </c>
      <c r="H12" s="20">
        <v>1849</v>
      </c>
      <c r="J12" s="481"/>
      <c r="K12" s="494"/>
      <c r="L12" s="451"/>
      <c r="M12" s="451"/>
      <c r="N12" s="451"/>
      <c r="O12" s="451"/>
      <c r="P12" s="451"/>
      <c r="Q12" s="72"/>
    </row>
    <row r="13" spans="1:17" s="16" customFormat="1" ht="11.25" hidden="1">
      <c r="A13" s="22" t="s">
        <v>35</v>
      </c>
      <c r="B13" s="14" t="s">
        <v>36</v>
      </c>
      <c r="C13" s="20">
        <v>2326</v>
      </c>
      <c r="D13" s="21"/>
      <c r="E13" s="20">
        <v>2326</v>
      </c>
      <c r="F13" s="26">
        <v>1632</v>
      </c>
      <c r="G13" s="19">
        <f t="shared" si="0"/>
        <v>0.7016337059329321</v>
      </c>
      <c r="H13" s="20">
        <v>2326</v>
      </c>
      <c r="J13" s="482"/>
      <c r="K13" s="495"/>
      <c r="L13" s="452"/>
      <c r="M13" s="452"/>
      <c r="N13" s="452"/>
      <c r="O13" s="452"/>
      <c r="P13" s="452"/>
      <c r="Q13" s="72"/>
    </row>
    <row r="14" spans="1:17" s="16" customFormat="1" ht="11.25">
      <c r="A14" s="224" t="s">
        <v>121</v>
      </c>
      <c r="B14" s="223"/>
      <c r="C14" s="230">
        <f>SUM(C15:C19)</f>
        <v>2780</v>
      </c>
      <c r="D14" s="230">
        <f>SUM(D15:D19)</f>
        <v>2480</v>
      </c>
      <c r="E14" s="230">
        <f>SUM(E15:E19)</f>
        <v>2780</v>
      </c>
      <c r="F14" s="231">
        <f>SUM(F15:F19)</f>
        <v>2519</v>
      </c>
      <c r="G14" s="228">
        <f aca="true" t="shared" si="2" ref="G14:G19">+F14/E14</f>
        <v>0.9061151079136691</v>
      </c>
      <c r="H14" s="230">
        <f>SUM(H15:H19)</f>
        <v>2630</v>
      </c>
      <c r="I14" s="229"/>
      <c r="J14" s="483">
        <f aca="true" t="shared" si="3" ref="J14:P14">SUM(J15:J20)</f>
        <v>14454.32</v>
      </c>
      <c r="K14" s="600">
        <f t="shared" si="3"/>
        <v>15222.84</v>
      </c>
      <c r="L14" s="453">
        <f t="shared" si="3"/>
        <v>15104</v>
      </c>
      <c r="M14" s="453">
        <f t="shared" si="3"/>
        <v>15104</v>
      </c>
      <c r="N14" s="453">
        <f t="shared" si="3"/>
        <v>15124</v>
      </c>
      <c r="O14" s="453">
        <f t="shared" si="3"/>
        <v>15121</v>
      </c>
      <c r="P14" s="453">
        <f t="shared" si="3"/>
        <v>15121</v>
      </c>
      <c r="Q14" s="72"/>
    </row>
    <row r="15" spans="1:17" s="38" customFormat="1" ht="9.75" customHeight="1">
      <c r="A15" s="363" t="s">
        <v>133</v>
      </c>
      <c r="B15" s="14" t="s">
        <v>291</v>
      </c>
      <c r="C15" s="20">
        <v>80</v>
      </c>
      <c r="D15" s="20">
        <v>80</v>
      </c>
      <c r="E15" s="20">
        <v>80</v>
      </c>
      <c r="F15" s="26">
        <v>69</v>
      </c>
      <c r="G15" s="19">
        <f t="shared" si="2"/>
        <v>0.8625</v>
      </c>
      <c r="H15" s="20">
        <v>80</v>
      </c>
      <c r="J15" s="484">
        <v>370</v>
      </c>
      <c r="K15" s="496">
        <v>368</v>
      </c>
      <c r="L15" s="454">
        <v>376</v>
      </c>
      <c r="M15" s="454">
        <v>376</v>
      </c>
      <c r="N15" s="454">
        <v>376</v>
      </c>
      <c r="O15" s="454">
        <v>373</v>
      </c>
      <c r="P15" s="454">
        <v>373</v>
      </c>
      <c r="Q15" s="114"/>
    </row>
    <row r="16" spans="1:17" s="38" customFormat="1" ht="9.75" customHeight="1">
      <c r="A16" s="363" t="s">
        <v>133</v>
      </c>
      <c r="B16" s="14" t="s">
        <v>215</v>
      </c>
      <c r="C16" s="17"/>
      <c r="D16" s="17"/>
      <c r="E16" s="17"/>
      <c r="F16" s="26"/>
      <c r="G16" s="19"/>
      <c r="H16" s="17"/>
      <c r="J16" s="485">
        <v>14</v>
      </c>
      <c r="K16" s="601">
        <v>14</v>
      </c>
      <c r="L16" s="455">
        <v>10</v>
      </c>
      <c r="M16" s="455">
        <v>10</v>
      </c>
      <c r="N16" s="455">
        <v>10</v>
      </c>
      <c r="O16" s="455">
        <v>10</v>
      </c>
      <c r="P16" s="455">
        <v>10</v>
      </c>
      <c r="Q16" s="114"/>
    </row>
    <row r="17" spans="1:18" s="16" customFormat="1" ht="9.75" customHeight="1">
      <c r="A17" s="363" t="s">
        <v>134</v>
      </c>
      <c r="B17" s="14" t="s">
        <v>111</v>
      </c>
      <c r="C17" s="41">
        <v>22</v>
      </c>
      <c r="D17" s="41"/>
      <c r="E17" s="41">
        <v>22</v>
      </c>
      <c r="F17" s="26">
        <v>18</v>
      </c>
      <c r="G17" s="19">
        <f t="shared" si="2"/>
        <v>0.8181818181818182</v>
      </c>
      <c r="H17" s="41">
        <v>22</v>
      </c>
      <c r="J17" s="481">
        <v>0</v>
      </c>
      <c r="K17" s="494">
        <v>0</v>
      </c>
      <c r="L17" s="451">
        <v>0</v>
      </c>
      <c r="M17" s="451">
        <v>0</v>
      </c>
      <c r="N17" s="451">
        <v>20</v>
      </c>
      <c r="O17" s="451">
        <v>20</v>
      </c>
      <c r="P17" s="451">
        <v>20</v>
      </c>
      <c r="Q17" s="72"/>
      <c r="R17" s="38"/>
    </row>
    <row r="18" spans="1:17" s="16" customFormat="1" ht="9.75" customHeight="1">
      <c r="A18" s="363" t="s">
        <v>135</v>
      </c>
      <c r="B18" s="14" t="s">
        <v>292</v>
      </c>
      <c r="C18" s="41"/>
      <c r="D18" s="41"/>
      <c r="E18" s="41"/>
      <c r="F18" s="26"/>
      <c r="G18" s="19"/>
      <c r="H18" s="41"/>
      <c r="J18" s="481">
        <v>13414.72</v>
      </c>
      <c r="K18" s="494">
        <v>13837.57</v>
      </c>
      <c r="L18" s="451">
        <v>13987</v>
      </c>
      <c r="M18" s="451">
        <v>13987</v>
      </c>
      <c r="N18" s="451">
        <v>13987</v>
      </c>
      <c r="O18" s="451">
        <v>13987</v>
      </c>
      <c r="P18" s="451">
        <v>13987</v>
      </c>
      <c r="Q18" s="422"/>
    </row>
    <row r="19" spans="1:17" s="16" customFormat="1" ht="9.75" customHeight="1">
      <c r="A19" s="363" t="s">
        <v>135</v>
      </c>
      <c r="B19" s="14" t="s">
        <v>216</v>
      </c>
      <c r="C19" s="20">
        <v>2678</v>
      </c>
      <c r="D19" s="20">
        <v>2400</v>
      </c>
      <c r="E19" s="20">
        <v>2678</v>
      </c>
      <c r="F19" s="26">
        <v>2432</v>
      </c>
      <c r="G19" s="19">
        <f t="shared" si="2"/>
        <v>0.9081404032860344</v>
      </c>
      <c r="H19" s="20">
        <f>2678-150</f>
        <v>2528</v>
      </c>
      <c r="J19" s="482">
        <v>124.5</v>
      </c>
      <c r="K19" s="495">
        <v>472.17</v>
      </c>
      <c r="L19" s="452">
        <v>200</v>
      </c>
      <c r="M19" s="452">
        <v>200</v>
      </c>
      <c r="N19" s="452">
        <v>200</v>
      </c>
      <c r="O19" s="452">
        <v>200</v>
      </c>
      <c r="P19" s="452">
        <v>200</v>
      </c>
      <c r="Q19" s="72"/>
    </row>
    <row r="20" spans="1:17" s="16" customFormat="1" ht="9.75" customHeight="1">
      <c r="A20" s="391" t="s">
        <v>319</v>
      </c>
      <c r="B20" s="29" t="s">
        <v>147</v>
      </c>
      <c r="C20" s="53"/>
      <c r="D20" s="21"/>
      <c r="E20" s="53"/>
      <c r="F20" s="44"/>
      <c r="G20" s="19"/>
      <c r="H20" s="53"/>
      <c r="J20" s="486">
        <v>531.1</v>
      </c>
      <c r="K20" s="602">
        <v>531.1</v>
      </c>
      <c r="L20" s="456">
        <v>531</v>
      </c>
      <c r="M20" s="456">
        <v>531</v>
      </c>
      <c r="N20" s="456">
        <v>531</v>
      </c>
      <c r="O20" s="456">
        <v>531</v>
      </c>
      <c r="P20" s="456">
        <v>531</v>
      </c>
      <c r="Q20" s="72"/>
    </row>
    <row r="21" spans="1:17" s="16" customFormat="1" ht="11.25">
      <c r="A21" s="224" t="s">
        <v>136</v>
      </c>
      <c r="B21" s="223"/>
      <c r="C21" s="232">
        <f>SUM(C22:C28)</f>
        <v>113</v>
      </c>
      <c r="D21" s="232">
        <f>SUM(D22:D28)</f>
        <v>100</v>
      </c>
      <c r="E21" s="232">
        <f>SUM(E22:E28)</f>
        <v>113</v>
      </c>
      <c r="F21" s="233">
        <f>SUM(F22:F28)</f>
        <v>109</v>
      </c>
      <c r="G21" s="228">
        <f>+F21/E21</f>
        <v>0.9646017699115044</v>
      </c>
      <c r="H21" s="232">
        <f>SUM(H22:H28)</f>
        <v>109</v>
      </c>
      <c r="I21" s="229"/>
      <c r="J21" s="487">
        <f aca="true" t="shared" si="4" ref="J21:P21">SUM(J22:J33)</f>
        <v>14723.59</v>
      </c>
      <c r="K21" s="603">
        <f t="shared" si="4"/>
        <v>15117.85</v>
      </c>
      <c r="L21" s="457">
        <f t="shared" si="4"/>
        <v>14109</v>
      </c>
      <c r="M21" s="457">
        <f t="shared" si="4"/>
        <v>14469</v>
      </c>
      <c r="N21" s="457">
        <f t="shared" si="4"/>
        <v>14209</v>
      </c>
      <c r="O21" s="457">
        <f t="shared" si="4"/>
        <v>14209</v>
      </c>
      <c r="P21" s="457">
        <f t="shared" si="4"/>
        <v>14209</v>
      </c>
      <c r="Q21" s="72"/>
    </row>
    <row r="22" spans="1:17" s="46" customFormat="1" ht="11.25">
      <c r="A22" s="22">
        <v>212002</v>
      </c>
      <c r="B22" s="14" t="s">
        <v>402</v>
      </c>
      <c r="C22" s="20">
        <v>100</v>
      </c>
      <c r="D22" s="20">
        <v>100</v>
      </c>
      <c r="E22" s="20">
        <v>100</v>
      </c>
      <c r="F22" s="26">
        <v>109</v>
      </c>
      <c r="G22" s="19">
        <f>+F22/E22</f>
        <v>1.09</v>
      </c>
      <c r="H22" s="20">
        <v>109</v>
      </c>
      <c r="J22" s="482">
        <v>400</v>
      </c>
      <c r="K22" s="495">
        <v>100</v>
      </c>
      <c r="L22" s="452">
        <v>100</v>
      </c>
      <c r="M22" s="452">
        <v>100</v>
      </c>
      <c r="N22" s="452">
        <v>100</v>
      </c>
      <c r="O22" s="452">
        <v>100</v>
      </c>
      <c r="P22" s="452">
        <v>100</v>
      </c>
      <c r="Q22" s="426"/>
    </row>
    <row r="23" spans="1:17" s="46" customFormat="1" ht="11.25">
      <c r="A23" s="530">
        <v>212002</v>
      </c>
      <c r="B23" s="531" t="s">
        <v>222</v>
      </c>
      <c r="C23" s="17"/>
      <c r="D23" s="17"/>
      <c r="E23" s="17"/>
      <c r="F23" s="26"/>
      <c r="G23" s="19"/>
      <c r="H23" s="17"/>
      <c r="J23" s="481">
        <v>20</v>
      </c>
      <c r="K23" s="494">
        <v>0</v>
      </c>
      <c r="L23" s="451">
        <v>50</v>
      </c>
      <c r="M23" s="451">
        <v>50</v>
      </c>
      <c r="N23" s="451">
        <v>50</v>
      </c>
      <c r="O23" s="451">
        <v>50</v>
      </c>
      <c r="P23" s="451">
        <v>50</v>
      </c>
      <c r="Q23" s="426"/>
    </row>
    <row r="24" spans="1:17" s="16" customFormat="1" ht="11.25" hidden="1">
      <c r="A24" s="47" t="s">
        <v>51</v>
      </c>
      <c r="B24" s="48" t="s">
        <v>52</v>
      </c>
      <c r="C24" s="41">
        <v>13</v>
      </c>
      <c r="D24" s="41">
        <v>0</v>
      </c>
      <c r="E24" s="41">
        <v>13</v>
      </c>
      <c r="F24" s="26">
        <v>0</v>
      </c>
      <c r="G24" s="19">
        <f>+F24/E24</f>
        <v>0</v>
      </c>
      <c r="H24" s="41">
        <v>0</v>
      </c>
      <c r="J24" s="481"/>
      <c r="K24" s="494"/>
      <c r="L24" s="451"/>
      <c r="M24" s="451"/>
      <c r="N24" s="451"/>
      <c r="O24" s="451"/>
      <c r="P24" s="451"/>
      <c r="Q24" s="72"/>
    </row>
    <row r="25" spans="1:17" s="16" customFormat="1" ht="11.25">
      <c r="A25" s="33">
        <v>212003</v>
      </c>
      <c r="B25" s="34" t="s">
        <v>145</v>
      </c>
      <c r="C25" s="41"/>
      <c r="D25" s="41"/>
      <c r="E25" s="41"/>
      <c r="F25" s="26"/>
      <c r="G25" s="19"/>
      <c r="H25" s="41"/>
      <c r="J25" s="481">
        <v>200</v>
      </c>
      <c r="K25" s="494">
        <v>0</v>
      </c>
      <c r="L25" s="451">
        <v>0</v>
      </c>
      <c r="M25" s="451">
        <v>0</v>
      </c>
      <c r="N25" s="451">
        <v>0</v>
      </c>
      <c r="O25" s="451">
        <v>0</v>
      </c>
      <c r="P25" s="451">
        <v>0</v>
      </c>
      <c r="Q25" s="72"/>
    </row>
    <row r="26" spans="1:17" s="16" customFormat="1" ht="11.25">
      <c r="A26" s="33">
        <v>212003</v>
      </c>
      <c r="B26" s="34" t="s">
        <v>144</v>
      </c>
      <c r="C26" s="41"/>
      <c r="D26" s="41"/>
      <c r="E26" s="41"/>
      <c r="F26" s="26"/>
      <c r="G26" s="19"/>
      <c r="H26" s="41"/>
      <c r="J26" s="481">
        <v>326.24</v>
      </c>
      <c r="K26" s="494">
        <v>180</v>
      </c>
      <c r="L26" s="451">
        <v>100</v>
      </c>
      <c r="M26" s="451">
        <v>210</v>
      </c>
      <c r="N26" s="451">
        <v>100</v>
      </c>
      <c r="O26" s="451">
        <v>100</v>
      </c>
      <c r="P26" s="451">
        <v>100</v>
      </c>
      <c r="Q26" s="589"/>
    </row>
    <row r="27" spans="1:17" s="16" customFormat="1" ht="11.25">
      <c r="A27" s="33">
        <v>212003</v>
      </c>
      <c r="B27" s="34" t="s">
        <v>146</v>
      </c>
      <c r="C27" s="41"/>
      <c r="D27" s="41"/>
      <c r="E27" s="41"/>
      <c r="F27" s="26"/>
      <c r="G27" s="19"/>
      <c r="H27" s="41"/>
      <c r="J27" s="481">
        <v>13627.35</v>
      </c>
      <c r="K27" s="494">
        <v>13842.85</v>
      </c>
      <c r="L27" s="451">
        <v>13809</v>
      </c>
      <c r="M27" s="451">
        <v>13809</v>
      </c>
      <c r="N27" s="451">
        <v>13809</v>
      </c>
      <c r="O27" s="451">
        <v>13809</v>
      </c>
      <c r="P27" s="451">
        <v>13809</v>
      </c>
      <c r="Q27" s="72"/>
    </row>
    <row r="28" spans="1:17" s="16" customFormat="1" ht="11.25">
      <c r="A28" s="33">
        <v>212003</v>
      </c>
      <c r="B28" s="34" t="s">
        <v>148</v>
      </c>
      <c r="C28" s="41"/>
      <c r="D28" s="41"/>
      <c r="E28" s="41"/>
      <c r="F28" s="26"/>
      <c r="G28" s="19"/>
      <c r="H28" s="41"/>
      <c r="J28" s="481">
        <v>150</v>
      </c>
      <c r="K28" s="494">
        <v>70</v>
      </c>
      <c r="L28" s="451">
        <v>50</v>
      </c>
      <c r="M28" s="451">
        <v>250</v>
      </c>
      <c r="N28" s="451">
        <v>100</v>
      </c>
      <c r="O28" s="451">
        <v>100</v>
      </c>
      <c r="P28" s="451">
        <v>100</v>
      </c>
      <c r="Q28" s="72"/>
    </row>
    <row r="29" spans="1:17" s="16" customFormat="1" ht="11.25" hidden="1">
      <c r="A29" s="11" t="s">
        <v>2</v>
      </c>
      <c r="B29" s="29"/>
      <c r="C29" s="12"/>
      <c r="D29" s="12"/>
      <c r="E29" s="12"/>
      <c r="F29" s="26"/>
      <c r="G29" s="19"/>
      <c r="H29" s="12"/>
      <c r="J29" s="484"/>
      <c r="K29" s="496"/>
      <c r="L29" s="454"/>
      <c r="M29" s="454"/>
      <c r="N29" s="454"/>
      <c r="O29" s="454"/>
      <c r="P29" s="454"/>
      <c r="Q29" s="72"/>
    </row>
    <row r="30" spans="1:17" s="16" customFormat="1" ht="11.25" hidden="1">
      <c r="A30" s="40"/>
      <c r="B30" s="29"/>
      <c r="C30" s="12"/>
      <c r="D30" s="12"/>
      <c r="E30" s="12"/>
      <c r="F30" s="26"/>
      <c r="G30" s="19"/>
      <c r="H30" s="12"/>
      <c r="J30" s="484"/>
      <c r="K30" s="496"/>
      <c r="L30" s="454"/>
      <c r="M30" s="454"/>
      <c r="N30" s="454"/>
      <c r="O30" s="454"/>
      <c r="P30" s="454"/>
      <c r="Q30" s="72"/>
    </row>
    <row r="31" spans="1:17" s="16" customFormat="1" ht="11.25" hidden="1">
      <c r="A31" s="40"/>
      <c r="B31" s="29"/>
      <c r="C31" s="12"/>
      <c r="D31" s="12"/>
      <c r="E31" s="12"/>
      <c r="F31" s="26"/>
      <c r="G31" s="19"/>
      <c r="H31" s="12"/>
      <c r="J31" s="484"/>
      <c r="K31" s="496"/>
      <c r="L31" s="454"/>
      <c r="M31" s="454"/>
      <c r="N31" s="454"/>
      <c r="O31" s="454"/>
      <c r="P31" s="454"/>
      <c r="Q31" s="72"/>
    </row>
    <row r="32" spans="1:17" s="16" customFormat="1" ht="11.25">
      <c r="A32" s="49">
        <v>212003</v>
      </c>
      <c r="B32" s="591" t="s">
        <v>377</v>
      </c>
      <c r="C32" s="12"/>
      <c r="D32" s="12"/>
      <c r="E32" s="12"/>
      <c r="F32" s="26"/>
      <c r="G32" s="19"/>
      <c r="H32" s="12"/>
      <c r="J32" s="484">
        <v>0</v>
      </c>
      <c r="K32" s="496">
        <v>0</v>
      </c>
      <c r="L32" s="454">
        <v>0</v>
      </c>
      <c r="M32" s="454">
        <v>50</v>
      </c>
      <c r="N32" s="454">
        <v>50</v>
      </c>
      <c r="O32" s="454">
        <v>50</v>
      </c>
      <c r="P32" s="454">
        <v>50</v>
      </c>
      <c r="Q32" s="72"/>
    </row>
    <row r="33" spans="1:17" s="16" customFormat="1" ht="11.25">
      <c r="A33" s="49">
        <v>212004</v>
      </c>
      <c r="B33" s="29" t="s">
        <v>275</v>
      </c>
      <c r="C33" s="12"/>
      <c r="D33" s="12"/>
      <c r="E33" s="12"/>
      <c r="F33" s="26"/>
      <c r="G33" s="19"/>
      <c r="H33" s="12"/>
      <c r="J33" s="484">
        <v>0</v>
      </c>
      <c r="K33" s="496">
        <v>925</v>
      </c>
      <c r="L33" s="454">
        <v>0</v>
      </c>
      <c r="M33" s="454">
        <v>0</v>
      </c>
      <c r="N33" s="454">
        <v>0</v>
      </c>
      <c r="O33" s="454">
        <v>0</v>
      </c>
      <c r="P33" s="454">
        <v>0</v>
      </c>
      <c r="Q33" s="72"/>
    </row>
    <row r="34" spans="1:17" s="16" customFormat="1" ht="11.25">
      <c r="A34" s="224" t="s">
        <v>122</v>
      </c>
      <c r="B34" s="223"/>
      <c r="C34" s="232">
        <f>SUM(C35:C47)</f>
        <v>404</v>
      </c>
      <c r="D34" s="232">
        <f>SUM(D35:D47)</f>
        <v>300</v>
      </c>
      <c r="E34" s="232">
        <f>SUM(E35:E47)</f>
        <v>404</v>
      </c>
      <c r="F34" s="227">
        <f>SUM(F35:F47)</f>
        <v>375</v>
      </c>
      <c r="G34" s="228">
        <f>+F34/E34</f>
        <v>0.9282178217821783</v>
      </c>
      <c r="H34" s="232">
        <f>SUM(H35:H47)</f>
        <v>429</v>
      </c>
      <c r="I34" s="229"/>
      <c r="J34" s="483">
        <f aca="true" t="shared" si="5" ref="J34:P34">SUM(J35:J48)</f>
        <v>11012.630000000001</v>
      </c>
      <c r="K34" s="600">
        <f t="shared" si="5"/>
        <v>9950.77</v>
      </c>
      <c r="L34" s="453">
        <f t="shared" si="5"/>
        <v>10110</v>
      </c>
      <c r="M34" s="453">
        <f t="shared" si="5"/>
        <v>11942</v>
      </c>
      <c r="N34" s="453">
        <f t="shared" si="5"/>
        <v>10435</v>
      </c>
      <c r="O34" s="453">
        <f t="shared" si="5"/>
        <v>10605</v>
      </c>
      <c r="P34" s="453">
        <f t="shared" si="5"/>
        <v>10605</v>
      </c>
      <c r="Q34" s="72"/>
    </row>
    <row r="35" spans="1:17" s="16" customFormat="1" ht="11.25">
      <c r="A35" s="22">
        <v>221004</v>
      </c>
      <c r="B35" s="14" t="s">
        <v>276</v>
      </c>
      <c r="C35" s="41">
        <v>300</v>
      </c>
      <c r="D35" s="41">
        <v>300</v>
      </c>
      <c r="E35" s="41">
        <v>300</v>
      </c>
      <c r="F35" s="26">
        <v>281</v>
      </c>
      <c r="G35" s="19">
        <f>+F35/E35</f>
        <v>0.9366666666666666</v>
      </c>
      <c r="H35" s="41">
        <v>325</v>
      </c>
      <c r="J35" s="481">
        <v>421.1</v>
      </c>
      <c r="K35" s="494">
        <v>634.5</v>
      </c>
      <c r="L35" s="451">
        <v>350</v>
      </c>
      <c r="M35" s="451">
        <v>450</v>
      </c>
      <c r="N35" s="451">
        <v>450</v>
      </c>
      <c r="O35" s="451">
        <v>450</v>
      </c>
      <c r="P35" s="451">
        <v>450</v>
      </c>
      <c r="Q35" s="72"/>
    </row>
    <row r="36" spans="1:17" s="16" customFormat="1" ht="11.25">
      <c r="A36" s="22">
        <v>223001</v>
      </c>
      <c r="B36" s="14" t="s">
        <v>259</v>
      </c>
      <c r="C36" s="41"/>
      <c r="D36" s="41"/>
      <c r="E36" s="41"/>
      <c r="F36" s="26"/>
      <c r="G36" s="19"/>
      <c r="H36" s="41"/>
      <c r="J36" s="481">
        <v>6</v>
      </c>
      <c r="K36" s="494">
        <v>42</v>
      </c>
      <c r="L36" s="451">
        <v>0</v>
      </c>
      <c r="M36" s="451">
        <v>30</v>
      </c>
      <c r="N36" s="451">
        <v>30</v>
      </c>
      <c r="O36" s="451">
        <v>30</v>
      </c>
      <c r="P36" s="451">
        <v>30</v>
      </c>
      <c r="Q36" s="72"/>
    </row>
    <row r="37" spans="1:17" s="16" customFormat="1" ht="11.25">
      <c r="A37" s="22">
        <v>223001</v>
      </c>
      <c r="B37" s="14" t="s">
        <v>212</v>
      </c>
      <c r="C37" s="41"/>
      <c r="D37" s="41"/>
      <c r="E37" s="41"/>
      <c r="F37" s="26"/>
      <c r="G37" s="19"/>
      <c r="H37" s="41"/>
      <c r="J37" s="494">
        <v>171.6</v>
      </c>
      <c r="K37" s="494">
        <v>116.16</v>
      </c>
      <c r="L37" s="451">
        <v>80</v>
      </c>
      <c r="M37" s="451">
        <v>80</v>
      </c>
      <c r="N37" s="451">
        <v>80</v>
      </c>
      <c r="O37" s="451">
        <v>60</v>
      </c>
      <c r="P37" s="451">
        <v>60</v>
      </c>
      <c r="Q37" s="72"/>
    </row>
    <row r="38" spans="1:17" s="16" customFormat="1" ht="11.25">
      <c r="A38" s="22">
        <v>223001</v>
      </c>
      <c r="B38" s="14" t="s">
        <v>149</v>
      </c>
      <c r="C38" s="41"/>
      <c r="D38" s="41"/>
      <c r="E38" s="41"/>
      <c r="F38" s="26"/>
      <c r="G38" s="19"/>
      <c r="H38" s="41"/>
      <c r="J38" s="494">
        <v>3371.3</v>
      </c>
      <c r="K38" s="494">
        <v>2507.3</v>
      </c>
      <c r="L38" s="451">
        <v>2850</v>
      </c>
      <c r="M38" s="451">
        <v>3800</v>
      </c>
      <c r="N38" s="451">
        <v>3800</v>
      </c>
      <c r="O38" s="451">
        <v>3900</v>
      </c>
      <c r="P38" s="451">
        <v>3900</v>
      </c>
      <c r="Q38" s="72"/>
    </row>
    <row r="39" spans="1:17" s="16" customFormat="1" ht="11.25">
      <c r="A39" s="22">
        <v>223001</v>
      </c>
      <c r="B39" s="14" t="s">
        <v>196</v>
      </c>
      <c r="C39" s="41"/>
      <c r="D39" s="41"/>
      <c r="E39" s="41"/>
      <c r="F39" s="26"/>
      <c r="G39" s="19"/>
      <c r="H39" s="41"/>
      <c r="J39" s="494">
        <v>36.26</v>
      </c>
      <c r="K39" s="494">
        <v>40.3</v>
      </c>
      <c r="L39" s="451">
        <v>30</v>
      </c>
      <c r="M39" s="451">
        <v>30</v>
      </c>
      <c r="N39" s="451">
        <v>15</v>
      </c>
      <c r="O39" s="451">
        <v>15</v>
      </c>
      <c r="P39" s="451">
        <v>15</v>
      </c>
      <c r="Q39" s="72"/>
    </row>
    <row r="40" spans="1:17" s="16" customFormat="1" ht="11.25">
      <c r="A40" s="22">
        <v>223001</v>
      </c>
      <c r="B40" s="14" t="s">
        <v>254</v>
      </c>
      <c r="C40" s="41">
        <v>74</v>
      </c>
      <c r="D40" s="41"/>
      <c r="E40" s="41">
        <v>74</v>
      </c>
      <c r="F40" s="26">
        <v>64</v>
      </c>
      <c r="G40" s="19">
        <f>+F40/E40</f>
        <v>0.8648648648648649</v>
      </c>
      <c r="H40" s="41">
        <v>74</v>
      </c>
      <c r="J40" s="494">
        <v>220</v>
      </c>
      <c r="K40" s="494">
        <v>165</v>
      </c>
      <c r="L40" s="451">
        <v>200</v>
      </c>
      <c r="M40" s="451">
        <v>200</v>
      </c>
      <c r="N40" s="451">
        <v>200</v>
      </c>
      <c r="O40" s="451">
        <v>200</v>
      </c>
      <c r="P40" s="451">
        <v>200</v>
      </c>
      <c r="Q40" s="72"/>
    </row>
    <row r="41" spans="1:17" s="16" customFormat="1" ht="9.75" customHeight="1" hidden="1">
      <c r="A41" s="42">
        <v>229001</v>
      </c>
      <c r="B41" s="34" t="s">
        <v>30</v>
      </c>
      <c r="C41" s="41">
        <v>30</v>
      </c>
      <c r="D41" s="41"/>
      <c r="E41" s="41">
        <v>30</v>
      </c>
      <c r="F41" s="26">
        <v>30</v>
      </c>
      <c r="G41" s="19">
        <f>+F41/E41</f>
        <v>1</v>
      </c>
      <c r="H41" s="41">
        <v>30</v>
      </c>
      <c r="J41" s="420"/>
      <c r="K41" s="494"/>
      <c r="L41" s="451"/>
      <c r="M41" s="451"/>
      <c r="N41" s="451"/>
      <c r="O41" s="451"/>
      <c r="P41" s="451"/>
      <c r="Q41" s="72"/>
    </row>
    <row r="42" spans="1:17" s="16" customFormat="1" ht="9.75" customHeight="1">
      <c r="A42" s="42">
        <v>223001</v>
      </c>
      <c r="B42" s="34" t="s">
        <v>150</v>
      </c>
      <c r="C42" s="41"/>
      <c r="D42" s="41"/>
      <c r="E42" s="41"/>
      <c r="F42" s="26"/>
      <c r="G42" s="19"/>
      <c r="H42" s="41"/>
      <c r="J42" s="420">
        <v>1962.75</v>
      </c>
      <c r="K42" s="494">
        <v>1722.5</v>
      </c>
      <c r="L42" s="451">
        <v>1650</v>
      </c>
      <c r="M42" s="451">
        <v>2750</v>
      </c>
      <c r="N42" s="451">
        <v>2650</v>
      </c>
      <c r="O42" s="451">
        <v>2700</v>
      </c>
      <c r="P42" s="451">
        <v>2700</v>
      </c>
      <c r="Q42" s="72"/>
    </row>
    <row r="43" spans="1:17" s="16" customFormat="1" ht="9.75" customHeight="1">
      <c r="A43" s="42">
        <v>223001</v>
      </c>
      <c r="B43" s="34" t="s">
        <v>151</v>
      </c>
      <c r="C43" s="41"/>
      <c r="D43" s="41"/>
      <c r="E43" s="41"/>
      <c r="F43" s="26"/>
      <c r="G43" s="19"/>
      <c r="H43" s="41"/>
      <c r="J43" s="420">
        <v>639.39</v>
      </c>
      <c r="K43" s="494">
        <v>985.48</v>
      </c>
      <c r="L43" s="451">
        <v>850</v>
      </c>
      <c r="M43" s="451">
        <v>850</v>
      </c>
      <c r="N43" s="451">
        <v>850</v>
      </c>
      <c r="O43" s="451">
        <v>850</v>
      </c>
      <c r="P43" s="451">
        <v>850</v>
      </c>
      <c r="Q43" s="72"/>
    </row>
    <row r="44" spans="1:17" s="16" customFormat="1" ht="9.75" customHeight="1">
      <c r="A44" s="42">
        <v>223001</v>
      </c>
      <c r="B44" s="34" t="s">
        <v>152</v>
      </c>
      <c r="C44" s="41"/>
      <c r="D44" s="41"/>
      <c r="E44" s="41"/>
      <c r="F44" s="26"/>
      <c r="G44" s="19"/>
      <c r="H44" s="41"/>
      <c r="J44" s="494">
        <v>915.56</v>
      </c>
      <c r="K44" s="494">
        <v>980.44</v>
      </c>
      <c r="L44" s="451">
        <v>1000</v>
      </c>
      <c r="M44" s="451">
        <v>500</v>
      </c>
      <c r="N44" s="451">
        <v>500</v>
      </c>
      <c r="O44" s="451">
        <v>500</v>
      </c>
      <c r="P44" s="451">
        <v>500</v>
      </c>
      <c r="Q44" s="72"/>
    </row>
    <row r="45" spans="1:17" s="16" customFormat="1" ht="9.75" customHeight="1">
      <c r="A45" s="42">
        <v>223001</v>
      </c>
      <c r="B45" s="34" t="s">
        <v>153</v>
      </c>
      <c r="C45" s="41"/>
      <c r="D45" s="41"/>
      <c r="E45" s="41"/>
      <c r="F45" s="26"/>
      <c r="G45" s="19"/>
      <c r="H45" s="41"/>
      <c r="J45" s="494">
        <v>56</v>
      </c>
      <c r="K45" s="494">
        <v>10</v>
      </c>
      <c r="L45" s="451">
        <v>0</v>
      </c>
      <c r="M45" s="451">
        <v>21</v>
      </c>
      <c r="N45" s="451">
        <v>10</v>
      </c>
      <c r="O45" s="451">
        <v>0</v>
      </c>
      <c r="P45" s="451">
        <v>0</v>
      </c>
      <c r="Q45" s="72"/>
    </row>
    <row r="46" spans="1:17" s="16" customFormat="1" ht="9.75" customHeight="1">
      <c r="A46" s="42">
        <v>223001</v>
      </c>
      <c r="B46" s="34" t="s">
        <v>186</v>
      </c>
      <c r="C46" s="41"/>
      <c r="D46" s="41"/>
      <c r="E46" s="41"/>
      <c r="F46" s="26"/>
      <c r="G46" s="19"/>
      <c r="H46" s="41"/>
      <c r="J46" s="494">
        <v>1626.67</v>
      </c>
      <c r="K46" s="494">
        <v>889.09</v>
      </c>
      <c r="L46" s="451">
        <v>1400</v>
      </c>
      <c r="M46" s="451">
        <v>1400</v>
      </c>
      <c r="N46" s="451">
        <v>0</v>
      </c>
      <c r="O46" s="451">
        <v>0</v>
      </c>
      <c r="P46" s="451">
        <v>0</v>
      </c>
      <c r="Q46" s="72"/>
    </row>
    <row r="47" spans="1:17" s="16" customFormat="1" ht="9.75" customHeight="1">
      <c r="A47" s="42">
        <v>223001</v>
      </c>
      <c r="B47" s="34" t="s">
        <v>260</v>
      </c>
      <c r="C47" s="41"/>
      <c r="D47" s="41"/>
      <c r="E47" s="41"/>
      <c r="F47" s="26"/>
      <c r="G47" s="19"/>
      <c r="H47" s="41"/>
      <c r="J47" s="494">
        <v>1264</v>
      </c>
      <c r="K47" s="494">
        <v>1360</v>
      </c>
      <c r="L47" s="451">
        <v>1250</v>
      </c>
      <c r="M47" s="451">
        <v>1408</v>
      </c>
      <c r="N47" s="451">
        <v>1400</v>
      </c>
      <c r="O47" s="451">
        <v>1450</v>
      </c>
      <c r="P47" s="451">
        <v>1450</v>
      </c>
      <c r="Q47" s="72"/>
    </row>
    <row r="48" spans="1:17" s="16" customFormat="1" ht="9.75" customHeight="1">
      <c r="A48" s="49">
        <v>223001</v>
      </c>
      <c r="B48" s="29" t="s">
        <v>245</v>
      </c>
      <c r="C48" s="12"/>
      <c r="D48" s="12"/>
      <c r="E48" s="12"/>
      <c r="F48" s="15"/>
      <c r="G48" s="19"/>
      <c r="H48" s="12"/>
      <c r="J48" s="496">
        <v>322</v>
      </c>
      <c r="K48" s="496">
        <v>498</v>
      </c>
      <c r="L48" s="454">
        <v>450</v>
      </c>
      <c r="M48" s="454">
        <v>423</v>
      </c>
      <c r="N48" s="454">
        <v>450</v>
      </c>
      <c r="O48" s="454">
        <v>450</v>
      </c>
      <c r="P48" s="454">
        <v>450</v>
      </c>
      <c r="Q48" s="72"/>
    </row>
    <row r="49" spans="1:17" s="16" customFormat="1" ht="11.25">
      <c r="A49" s="224" t="s">
        <v>197</v>
      </c>
      <c r="B49" s="225"/>
      <c r="C49" s="232">
        <f>SUM(C50:C50)</f>
        <v>150</v>
      </c>
      <c r="D49" s="232">
        <f>SUM(D50:D50)</f>
        <v>150</v>
      </c>
      <c r="E49" s="232">
        <f>SUM(E50:E50)</f>
        <v>150</v>
      </c>
      <c r="F49" s="227">
        <f>SUM(F50:F50)</f>
        <v>187</v>
      </c>
      <c r="G49" s="228">
        <f>+F49/E49</f>
        <v>1.2466666666666666</v>
      </c>
      <c r="H49" s="232">
        <f>SUM(H50:H50)</f>
        <v>230</v>
      </c>
      <c r="I49" s="229"/>
      <c r="J49" s="483">
        <f>J50</f>
        <v>24.25</v>
      </c>
      <c r="K49" s="600">
        <f aca="true" t="shared" si="6" ref="K49:P49">SUM(K50)</f>
        <v>10.78</v>
      </c>
      <c r="L49" s="453">
        <f t="shared" si="6"/>
        <v>10</v>
      </c>
      <c r="M49" s="453">
        <f t="shared" si="6"/>
        <v>10</v>
      </c>
      <c r="N49" s="453">
        <f t="shared" si="6"/>
        <v>10</v>
      </c>
      <c r="O49" s="453">
        <f t="shared" si="6"/>
        <v>10</v>
      </c>
      <c r="P49" s="453">
        <f t="shared" si="6"/>
        <v>10</v>
      </c>
      <c r="Q49" s="72"/>
    </row>
    <row r="50" spans="1:17" s="50" customFormat="1" ht="12" customHeight="1">
      <c r="A50" s="13">
        <v>242</v>
      </c>
      <c r="B50" s="14" t="s">
        <v>198</v>
      </c>
      <c r="C50" s="27">
        <v>150</v>
      </c>
      <c r="D50" s="27">
        <v>150</v>
      </c>
      <c r="E50" s="27">
        <v>150</v>
      </c>
      <c r="F50" s="26">
        <v>187</v>
      </c>
      <c r="G50" s="19">
        <f>+F50/E50</f>
        <v>1.2466666666666666</v>
      </c>
      <c r="H50" s="27">
        <v>230</v>
      </c>
      <c r="J50" s="482">
        <v>24.25</v>
      </c>
      <c r="K50" s="495">
        <v>10.78</v>
      </c>
      <c r="L50" s="452">
        <v>10</v>
      </c>
      <c r="M50" s="452">
        <v>10</v>
      </c>
      <c r="N50" s="452">
        <v>10</v>
      </c>
      <c r="O50" s="452">
        <v>10</v>
      </c>
      <c r="P50" s="452">
        <v>10</v>
      </c>
      <c r="Q50" s="119"/>
    </row>
    <row r="51" spans="1:17" s="16" customFormat="1" ht="9.75" customHeight="1">
      <c r="A51" s="234" t="s">
        <v>44</v>
      </c>
      <c r="B51" s="235"/>
      <c r="C51" s="236">
        <f>SUM(C52:C54)</f>
        <v>413</v>
      </c>
      <c r="D51" s="236">
        <f>SUM(D52:D53)</f>
        <v>110</v>
      </c>
      <c r="E51" s="236">
        <f>SUM(E52:E54)</f>
        <v>413</v>
      </c>
      <c r="F51" s="237">
        <f>SUM(F52:F54)</f>
        <v>1681</v>
      </c>
      <c r="G51" s="228">
        <f>+F51/E51</f>
        <v>4.070217917675545</v>
      </c>
      <c r="H51" s="236">
        <f>SUM(H52:H54)</f>
        <v>1681</v>
      </c>
      <c r="I51" s="229"/>
      <c r="J51" s="488">
        <f aca="true" t="shared" si="7" ref="J51:P51">SUM(J52:J54)</f>
        <v>35.53</v>
      </c>
      <c r="K51" s="604">
        <f t="shared" si="7"/>
        <v>178.71</v>
      </c>
      <c r="L51" s="458">
        <f t="shared" si="7"/>
        <v>0</v>
      </c>
      <c r="M51" s="458">
        <f t="shared" si="7"/>
        <v>3397</v>
      </c>
      <c r="N51" s="458">
        <f t="shared" si="7"/>
        <v>0</v>
      </c>
      <c r="O51" s="458">
        <f t="shared" si="7"/>
        <v>0</v>
      </c>
      <c r="P51" s="458">
        <f t="shared" si="7"/>
        <v>0</v>
      </c>
      <c r="Q51" s="72"/>
    </row>
    <row r="52" spans="1:17" s="38" customFormat="1" ht="9.75" customHeight="1">
      <c r="A52" s="22">
        <v>292012</v>
      </c>
      <c r="B52" s="14" t="s">
        <v>187</v>
      </c>
      <c r="C52" s="41"/>
      <c r="D52" s="12"/>
      <c r="E52" s="41"/>
      <c r="F52" s="26"/>
      <c r="G52" s="19"/>
      <c r="H52" s="41"/>
      <c r="J52" s="481">
        <v>35.53</v>
      </c>
      <c r="K52" s="494">
        <v>178.71</v>
      </c>
      <c r="L52" s="451">
        <v>0</v>
      </c>
      <c r="M52" s="451">
        <v>866</v>
      </c>
      <c r="N52" s="451">
        <v>0</v>
      </c>
      <c r="O52" s="451">
        <v>0</v>
      </c>
      <c r="P52" s="451">
        <v>0</v>
      </c>
      <c r="Q52" s="114"/>
    </row>
    <row r="53" spans="1:17" s="16" customFormat="1" ht="9.75" customHeight="1">
      <c r="A53" s="363" t="s">
        <v>188</v>
      </c>
      <c r="B53" s="14" t="s">
        <v>213</v>
      </c>
      <c r="C53" s="27">
        <v>410</v>
      </c>
      <c r="D53" s="26">
        <v>110</v>
      </c>
      <c r="E53" s="27">
        <v>410</v>
      </c>
      <c r="F53" s="26">
        <v>501</v>
      </c>
      <c r="G53" s="19">
        <f>+F53/E53</f>
        <v>1.221951219512195</v>
      </c>
      <c r="H53" s="27">
        <v>501</v>
      </c>
      <c r="J53" s="482">
        <v>0</v>
      </c>
      <c r="K53" s="495">
        <v>0</v>
      </c>
      <c r="L53" s="452">
        <v>0</v>
      </c>
      <c r="M53" s="452">
        <v>2531</v>
      </c>
      <c r="N53" s="452">
        <v>0</v>
      </c>
      <c r="O53" s="452">
        <v>0</v>
      </c>
      <c r="P53" s="452">
        <v>0</v>
      </c>
      <c r="Q53" s="72"/>
    </row>
    <row r="54" spans="1:17" s="16" customFormat="1" ht="9.75" customHeight="1">
      <c r="A54" s="22">
        <v>292027</v>
      </c>
      <c r="B54" s="51" t="s">
        <v>261</v>
      </c>
      <c r="C54" s="15">
        <v>3</v>
      </c>
      <c r="D54" s="26"/>
      <c r="E54" s="15">
        <v>3</v>
      </c>
      <c r="F54" s="26">
        <v>1180</v>
      </c>
      <c r="G54" s="19"/>
      <c r="H54" s="15">
        <v>1180</v>
      </c>
      <c r="J54" s="489">
        <v>0</v>
      </c>
      <c r="K54" s="605">
        <v>0</v>
      </c>
      <c r="L54" s="459">
        <v>0</v>
      </c>
      <c r="M54" s="459">
        <v>0</v>
      </c>
      <c r="N54" s="459">
        <v>0</v>
      </c>
      <c r="O54" s="459">
        <v>0</v>
      </c>
      <c r="P54" s="459">
        <v>0</v>
      </c>
      <c r="Q54" s="72"/>
    </row>
    <row r="55" spans="1:17" s="16" customFormat="1" ht="9.75" customHeight="1">
      <c r="A55" s="224" t="s">
        <v>119</v>
      </c>
      <c r="B55" s="225"/>
      <c r="C55" s="232">
        <f>SUM(C58:C64)</f>
        <v>14625</v>
      </c>
      <c r="D55" s="232" t="e">
        <f>SUM(D58:D62)</f>
        <v>#REF!</v>
      </c>
      <c r="E55" s="232">
        <f>SUM(E58:E64)</f>
        <v>14625</v>
      </c>
      <c r="F55" s="227">
        <f>SUM(F58:F64)</f>
        <v>10953</v>
      </c>
      <c r="G55" s="228">
        <f>+F55/E55</f>
        <v>0.7489230769230769</v>
      </c>
      <c r="H55" s="232" t="e">
        <f>SUM(H58:H64)</f>
        <v>#REF!</v>
      </c>
      <c r="I55" s="229"/>
      <c r="J55" s="490">
        <f aca="true" t="shared" si="8" ref="J55:P55">SUM(J56:J69)</f>
        <v>66451.92000000001</v>
      </c>
      <c r="K55" s="606">
        <f t="shared" si="8"/>
        <v>56410.16</v>
      </c>
      <c r="L55" s="460">
        <f t="shared" si="8"/>
        <v>6042</v>
      </c>
      <c r="M55" s="460">
        <f t="shared" si="8"/>
        <v>60575</v>
      </c>
      <c r="N55" s="460">
        <f t="shared" si="8"/>
        <v>2552</v>
      </c>
      <c r="O55" s="460">
        <f t="shared" si="8"/>
        <v>933</v>
      </c>
      <c r="P55" s="460">
        <f t="shared" si="8"/>
        <v>933</v>
      </c>
      <c r="Q55" s="72"/>
    </row>
    <row r="56" spans="1:17" s="16" customFormat="1" ht="9.75" customHeight="1">
      <c r="A56" s="509">
        <v>311</v>
      </c>
      <c r="B56" s="537" t="s">
        <v>314</v>
      </c>
      <c r="C56" s="505"/>
      <c r="D56" s="505"/>
      <c r="E56" s="505"/>
      <c r="F56" s="506"/>
      <c r="G56" s="507"/>
      <c r="H56" s="505"/>
      <c r="I56" s="508"/>
      <c r="J56" s="480">
        <v>110</v>
      </c>
      <c r="K56" s="617">
        <v>100</v>
      </c>
      <c r="L56" s="536">
        <v>0</v>
      </c>
      <c r="M56" s="536">
        <v>120</v>
      </c>
      <c r="N56" s="536">
        <v>0</v>
      </c>
      <c r="O56" s="536">
        <v>0</v>
      </c>
      <c r="P56" s="536">
        <v>0</v>
      </c>
      <c r="Q56" s="72"/>
    </row>
    <row r="57" spans="1:17" s="16" customFormat="1" ht="9.75" customHeight="1">
      <c r="A57" s="510">
        <v>311</v>
      </c>
      <c r="B57" s="504" t="s">
        <v>279</v>
      </c>
      <c r="C57" s="505"/>
      <c r="D57" s="505"/>
      <c r="E57" s="505"/>
      <c r="F57" s="506"/>
      <c r="G57" s="507"/>
      <c r="H57" s="505"/>
      <c r="I57" s="508"/>
      <c r="J57" s="480">
        <v>60</v>
      </c>
      <c r="K57" s="617">
        <v>1000</v>
      </c>
      <c r="L57" s="536">
        <v>0</v>
      </c>
      <c r="M57" s="536">
        <v>0</v>
      </c>
      <c r="N57" s="536">
        <v>0</v>
      </c>
      <c r="O57" s="536">
        <v>0</v>
      </c>
      <c r="P57" s="536">
        <v>0</v>
      </c>
      <c r="Q57" s="72"/>
    </row>
    <row r="58" spans="1:17" s="16" customFormat="1" ht="9.75" customHeight="1">
      <c r="A58" s="22">
        <v>312001</v>
      </c>
      <c r="B58" s="14" t="s">
        <v>262</v>
      </c>
      <c r="C58" s="17">
        <v>20</v>
      </c>
      <c r="D58" s="17">
        <v>20</v>
      </c>
      <c r="E58" s="17">
        <v>20</v>
      </c>
      <c r="F58" s="26">
        <v>3</v>
      </c>
      <c r="G58" s="19">
        <f aca="true" t="shared" si="9" ref="G58:G63">+F58/E58</f>
        <v>0.15</v>
      </c>
      <c r="H58" s="17">
        <v>20</v>
      </c>
      <c r="J58" s="481">
        <v>1877.14</v>
      </c>
      <c r="K58" s="619">
        <v>0</v>
      </c>
      <c r="L58" s="451">
        <v>0</v>
      </c>
      <c r="M58" s="451">
        <v>0</v>
      </c>
      <c r="N58" s="451">
        <v>0</v>
      </c>
      <c r="O58" s="451">
        <v>0</v>
      </c>
      <c r="P58" s="451">
        <v>0</v>
      </c>
      <c r="Q58" s="72"/>
    </row>
    <row r="59" spans="1:17" s="16" customFormat="1" ht="9.75" customHeight="1">
      <c r="A59" s="22">
        <v>312001</v>
      </c>
      <c r="B59" s="565" t="s">
        <v>350</v>
      </c>
      <c r="C59" s="17">
        <v>14525</v>
      </c>
      <c r="D59" s="17" t="e">
        <v>#REF!</v>
      </c>
      <c r="E59" s="17">
        <v>14525</v>
      </c>
      <c r="F59" s="26">
        <v>10894</v>
      </c>
      <c r="G59" s="19">
        <f t="shared" si="9"/>
        <v>0.7500172117039587</v>
      </c>
      <c r="H59" s="17" t="e">
        <f>+výdavky!#REF!+výdavky!#REF!+výdavky!#REF!+výdavky!#REF!</f>
        <v>#REF!</v>
      </c>
      <c r="J59" s="481">
        <v>0</v>
      </c>
      <c r="K59" s="494">
        <v>6278.42</v>
      </c>
      <c r="L59" s="451"/>
      <c r="M59" s="451">
        <v>0</v>
      </c>
      <c r="N59" s="451">
        <v>0</v>
      </c>
      <c r="O59" s="451">
        <v>0</v>
      </c>
      <c r="P59" s="451">
        <v>0</v>
      </c>
      <c r="Q59" s="72"/>
    </row>
    <row r="60" spans="1:17" s="16" customFormat="1" ht="9.75" customHeight="1">
      <c r="A60" s="22">
        <v>312001</v>
      </c>
      <c r="B60" s="14" t="s">
        <v>280</v>
      </c>
      <c r="C60" s="21"/>
      <c r="D60" s="21"/>
      <c r="E60" s="21"/>
      <c r="F60" s="26"/>
      <c r="G60" s="19"/>
      <c r="H60" s="21"/>
      <c r="J60" s="484">
        <v>3231.67</v>
      </c>
      <c r="K60" s="496">
        <v>3778.6</v>
      </c>
      <c r="L60" s="454">
        <v>5112</v>
      </c>
      <c r="M60" s="454">
        <v>13999</v>
      </c>
      <c r="N60" s="454">
        <v>1619</v>
      </c>
      <c r="O60" s="454">
        <v>0</v>
      </c>
      <c r="P60" s="454">
        <v>0</v>
      </c>
      <c r="Q60" s="588"/>
    </row>
    <row r="61" spans="1:17" s="16" customFormat="1" ht="9.75" customHeight="1">
      <c r="A61" s="22">
        <v>312001</v>
      </c>
      <c r="B61" s="14" t="s">
        <v>281</v>
      </c>
      <c r="C61" s="21"/>
      <c r="D61" s="21"/>
      <c r="E61" s="21"/>
      <c r="F61" s="26"/>
      <c r="G61" s="19"/>
      <c r="H61" s="21"/>
      <c r="J61" s="491">
        <v>36360.53</v>
      </c>
      <c r="K61" s="592">
        <v>29328.38</v>
      </c>
      <c r="L61" s="165"/>
      <c r="M61" s="165">
        <v>26625</v>
      </c>
      <c r="N61" s="165"/>
      <c r="O61" s="165">
        <v>0</v>
      </c>
      <c r="P61" s="165">
        <v>0</v>
      </c>
      <c r="Q61" s="72"/>
    </row>
    <row r="62" spans="1:17" s="16" customFormat="1" ht="9.75" customHeight="1">
      <c r="A62" s="22">
        <v>312001</v>
      </c>
      <c r="B62" s="14" t="s">
        <v>236</v>
      </c>
      <c r="C62" s="21"/>
      <c r="D62" s="21"/>
      <c r="E62" s="21"/>
      <c r="F62" s="26"/>
      <c r="G62" s="19"/>
      <c r="H62" s="21"/>
      <c r="J62" s="491">
        <v>22000</v>
      </c>
      <c r="K62" s="592">
        <v>15000</v>
      </c>
      <c r="L62" s="165">
        <v>0</v>
      </c>
      <c r="M62" s="165">
        <v>15000</v>
      </c>
      <c r="N62" s="165">
        <v>0</v>
      </c>
      <c r="O62" s="165">
        <v>0</v>
      </c>
      <c r="P62" s="165">
        <v>0</v>
      </c>
      <c r="Q62" s="72"/>
    </row>
    <row r="63" spans="1:17" s="16" customFormat="1" ht="9.75" customHeight="1">
      <c r="A63" s="42">
        <v>312001</v>
      </c>
      <c r="B63" s="566" t="s">
        <v>352</v>
      </c>
      <c r="C63" s="41">
        <v>80</v>
      </c>
      <c r="D63" s="12"/>
      <c r="E63" s="41">
        <v>80</v>
      </c>
      <c r="F63" s="26">
        <v>56</v>
      </c>
      <c r="G63" s="19">
        <f t="shared" si="9"/>
        <v>0.7</v>
      </c>
      <c r="H63" s="41">
        <v>56</v>
      </c>
      <c r="J63" s="481">
        <v>2390.39</v>
      </c>
      <c r="K63" s="494">
        <v>640</v>
      </c>
      <c r="L63" s="451">
        <v>640</v>
      </c>
      <c r="M63" s="451">
        <v>538</v>
      </c>
      <c r="N63" s="451">
        <v>640</v>
      </c>
      <c r="O63" s="451">
        <v>640</v>
      </c>
      <c r="P63" s="451">
        <v>640</v>
      </c>
      <c r="Q63" s="72"/>
    </row>
    <row r="64" spans="1:17" s="16" customFormat="1" ht="9.75" customHeight="1">
      <c r="A64" s="42">
        <v>312001</v>
      </c>
      <c r="B64" s="34" t="s">
        <v>293</v>
      </c>
      <c r="C64" s="41"/>
      <c r="D64" s="12"/>
      <c r="E64" s="41"/>
      <c r="F64" s="26"/>
      <c r="G64" s="19"/>
      <c r="H64" s="41"/>
      <c r="J64" s="481">
        <v>117.6</v>
      </c>
      <c r="K64" s="494">
        <v>0</v>
      </c>
      <c r="L64" s="451">
        <v>0</v>
      </c>
      <c r="M64" s="451">
        <v>0</v>
      </c>
      <c r="N64" s="451">
        <v>0</v>
      </c>
      <c r="O64" s="451">
        <v>0</v>
      </c>
      <c r="P64" s="451">
        <v>0</v>
      </c>
      <c r="Q64" s="72"/>
    </row>
    <row r="65" spans="1:17" s="16" customFormat="1" ht="10.5" customHeight="1">
      <c r="A65" s="22">
        <v>312001</v>
      </c>
      <c r="B65" s="565" t="s">
        <v>371</v>
      </c>
      <c r="C65" s="41"/>
      <c r="D65" s="12"/>
      <c r="E65" s="41"/>
      <c r="F65" s="26"/>
      <c r="G65" s="19"/>
      <c r="H65" s="41"/>
      <c r="J65" s="481">
        <v>0</v>
      </c>
      <c r="K65" s="494">
        <v>0</v>
      </c>
      <c r="L65" s="451">
        <v>0</v>
      </c>
      <c r="M65" s="451">
        <v>4000</v>
      </c>
      <c r="N65" s="451">
        <v>0</v>
      </c>
      <c r="O65" s="451">
        <v>0</v>
      </c>
      <c r="P65" s="451">
        <v>0</v>
      </c>
      <c r="Q65" s="72"/>
    </row>
    <row r="66" spans="1:17" s="16" customFormat="1" ht="10.5" customHeight="1">
      <c r="A66" s="22">
        <v>312012</v>
      </c>
      <c r="B66" s="14" t="s">
        <v>155</v>
      </c>
      <c r="C66" s="17">
        <v>155</v>
      </c>
      <c r="D66" s="17">
        <v>155</v>
      </c>
      <c r="E66" s="17">
        <v>155</v>
      </c>
      <c r="F66" s="26">
        <v>80</v>
      </c>
      <c r="G66" s="19">
        <f>+F66/E66</f>
        <v>0.5161290322580645</v>
      </c>
      <c r="H66" s="17">
        <v>155</v>
      </c>
      <c r="J66" s="481">
        <v>200.97</v>
      </c>
      <c r="K66" s="494">
        <v>201.3</v>
      </c>
      <c r="L66" s="451">
        <v>201</v>
      </c>
      <c r="M66" s="451">
        <v>210</v>
      </c>
      <c r="N66" s="451">
        <v>210</v>
      </c>
      <c r="O66" s="451">
        <v>210</v>
      </c>
      <c r="P66" s="451">
        <v>210</v>
      </c>
      <c r="Q66" s="72"/>
    </row>
    <row r="67" spans="1:17" s="16" customFormat="1" ht="10.5" customHeight="1">
      <c r="A67" s="22">
        <v>312012</v>
      </c>
      <c r="B67" s="14" t="s">
        <v>156</v>
      </c>
      <c r="C67" s="52">
        <v>158</v>
      </c>
      <c r="D67" s="53">
        <v>158</v>
      </c>
      <c r="E67" s="52">
        <v>158</v>
      </c>
      <c r="F67" s="26">
        <v>126</v>
      </c>
      <c r="G67" s="19">
        <f>+F67/E67</f>
        <v>0.7974683544303798</v>
      </c>
      <c r="H67" s="52">
        <v>158</v>
      </c>
      <c r="J67" s="492">
        <v>26.31</v>
      </c>
      <c r="K67" s="607">
        <v>26.35</v>
      </c>
      <c r="L67" s="461">
        <v>32</v>
      </c>
      <c r="M67" s="461">
        <v>26</v>
      </c>
      <c r="N67" s="461">
        <v>26</v>
      </c>
      <c r="O67" s="461">
        <v>26</v>
      </c>
      <c r="P67" s="461">
        <v>26</v>
      </c>
      <c r="Q67" s="72"/>
    </row>
    <row r="68" spans="1:17" s="16" customFormat="1" ht="10.5" customHeight="1">
      <c r="A68" s="22">
        <v>312012</v>
      </c>
      <c r="B68" s="51" t="s">
        <v>157</v>
      </c>
      <c r="C68" s="20">
        <v>300</v>
      </c>
      <c r="D68" s="20"/>
      <c r="E68" s="20">
        <v>300</v>
      </c>
      <c r="F68" s="26">
        <v>189</v>
      </c>
      <c r="G68" s="19">
        <f>+F68/E68</f>
        <v>0.63</v>
      </c>
      <c r="H68" s="20">
        <v>300</v>
      </c>
      <c r="J68" s="482">
        <v>57.07</v>
      </c>
      <c r="K68" s="495">
        <v>57.11</v>
      </c>
      <c r="L68" s="452">
        <v>57</v>
      </c>
      <c r="M68" s="452">
        <v>57</v>
      </c>
      <c r="N68" s="452">
        <v>57</v>
      </c>
      <c r="O68" s="452">
        <v>57</v>
      </c>
      <c r="P68" s="452">
        <v>57</v>
      </c>
      <c r="Q68" s="72"/>
    </row>
    <row r="69" spans="1:17" s="16" customFormat="1" ht="10.5" customHeight="1">
      <c r="A69" s="22">
        <v>312012</v>
      </c>
      <c r="B69" s="14" t="s">
        <v>154</v>
      </c>
      <c r="C69" s="17">
        <v>20</v>
      </c>
      <c r="D69" s="17">
        <v>20</v>
      </c>
      <c r="E69" s="17">
        <v>20</v>
      </c>
      <c r="F69" s="26">
        <v>3</v>
      </c>
      <c r="G69" s="19">
        <f>+F69/E69</f>
        <v>0.15</v>
      </c>
      <c r="H69" s="17">
        <v>20</v>
      </c>
      <c r="J69" s="481">
        <v>20.24</v>
      </c>
      <c r="K69" s="494">
        <v>0</v>
      </c>
      <c r="L69" s="451">
        <v>0</v>
      </c>
      <c r="M69" s="451">
        <v>0</v>
      </c>
      <c r="N69" s="451">
        <v>0</v>
      </c>
      <c r="O69" s="451">
        <v>0</v>
      </c>
      <c r="P69" s="451">
        <v>0</v>
      </c>
      <c r="Q69" s="72"/>
    </row>
    <row r="70" spans="1:17" s="16" customFormat="1" ht="13.5" customHeight="1" thickBot="1">
      <c r="A70" s="434" t="s">
        <v>3</v>
      </c>
      <c r="B70" s="239"/>
      <c r="C70" s="240">
        <f>+C55+C51+C49+C34+C21+C14+C6</f>
        <v>49965</v>
      </c>
      <c r="D70" s="240" t="e">
        <f>+D55+D51+D49+D34+D21+D14+D6</f>
        <v>#REF!</v>
      </c>
      <c r="E70" s="240">
        <f>+E55+E51+E49+E34+E21+E14+E6</f>
        <v>49965</v>
      </c>
      <c r="F70" s="241">
        <f>+F55+F51+F49+F34+F21+F14+F6</f>
        <v>41940</v>
      </c>
      <c r="G70" s="242">
        <f>+F70/E70</f>
        <v>0.8393875712999099</v>
      </c>
      <c r="H70" s="240" t="e">
        <f>+H55+H51+H49+H34+H21+H14+H6</f>
        <v>#REF!</v>
      </c>
      <c r="I70" s="243"/>
      <c r="J70" s="493">
        <f aca="true" t="shared" si="10" ref="J70:P70">SUM(J6+J14+J21+J34+J49+J51+J55)</f>
        <v>224321.57</v>
      </c>
      <c r="K70" s="608">
        <f t="shared" si="10"/>
        <v>219433.66</v>
      </c>
      <c r="L70" s="462">
        <f t="shared" si="10"/>
        <v>172405</v>
      </c>
      <c r="M70" s="462">
        <f t="shared" si="10"/>
        <v>239676</v>
      </c>
      <c r="N70" s="462">
        <f t="shared" si="10"/>
        <v>179700</v>
      </c>
      <c r="O70" s="462">
        <f t="shared" si="10"/>
        <v>175948</v>
      </c>
      <c r="P70" s="462">
        <f t="shared" si="10"/>
        <v>176948</v>
      </c>
      <c r="Q70" s="72"/>
    </row>
    <row r="71" spans="1:17" s="16" customFormat="1" ht="12.75" thickBot="1" thickTop="1">
      <c r="A71" s="435"/>
      <c r="B71" s="430"/>
      <c r="C71" s="431"/>
      <c r="D71" s="431"/>
      <c r="E71" s="431"/>
      <c r="F71" s="431"/>
      <c r="G71" s="432"/>
      <c r="H71" s="431"/>
      <c r="I71" s="29"/>
      <c r="J71" s="433"/>
      <c r="K71" s="438"/>
      <c r="L71" s="438"/>
      <c r="M71" s="620"/>
      <c r="N71" s="438"/>
      <c r="O71" s="438"/>
      <c r="P71" s="438"/>
      <c r="Q71" s="72"/>
    </row>
    <row r="72" spans="1:17" s="16" customFormat="1" ht="34.5" thickTop="1">
      <c r="A72" s="210" t="s">
        <v>20</v>
      </c>
      <c r="B72" s="211"/>
      <c r="C72" s="212" t="s">
        <v>38</v>
      </c>
      <c r="D72" s="212" t="s">
        <v>28</v>
      </c>
      <c r="E72" s="209" t="s">
        <v>39</v>
      </c>
      <c r="F72" s="212" t="s">
        <v>37</v>
      </c>
      <c r="G72" s="213"/>
      <c r="H72" s="209" t="s">
        <v>61</v>
      </c>
      <c r="I72" s="208"/>
      <c r="J72" s="257" t="s">
        <v>366</v>
      </c>
      <c r="K72" s="439" t="s">
        <v>396</v>
      </c>
      <c r="L72" s="564" t="s">
        <v>364</v>
      </c>
      <c r="M72" s="621" t="s">
        <v>393</v>
      </c>
      <c r="N72" s="564" t="s">
        <v>365</v>
      </c>
      <c r="O72" s="564" t="s">
        <v>394</v>
      </c>
      <c r="P72" s="564" t="s">
        <v>395</v>
      </c>
      <c r="Q72" s="72"/>
    </row>
    <row r="73" spans="1:17" s="16" customFormat="1" ht="11.25">
      <c r="A73" s="348" t="s">
        <v>116</v>
      </c>
      <c r="B73" s="225"/>
      <c r="C73" s="349" t="s">
        <v>0</v>
      </c>
      <c r="D73" s="349" t="s">
        <v>0</v>
      </c>
      <c r="E73" s="349"/>
      <c r="F73" s="349" t="s">
        <v>0</v>
      </c>
      <c r="G73" s="350"/>
      <c r="H73" s="237"/>
      <c r="I73" s="229"/>
      <c r="J73" s="497">
        <f aca="true" t="shared" si="11" ref="J73:P73">SUM(J74:J75)</f>
        <v>405</v>
      </c>
      <c r="K73" s="609">
        <f t="shared" si="11"/>
        <v>3000</v>
      </c>
      <c r="L73" s="463">
        <f t="shared" si="11"/>
        <v>750</v>
      </c>
      <c r="M73" s="463">
        <f t="shared" si="11"/>
        <v>898</v>
      </c>
      <c r="N73" s="463">
        <f t="shared" si="11"/>
        <v>750</v>
      </c>
      <c r="O73" s="463">
        <f t="shared" si="11"/>
        <v>0</v>
      </c>
      <c r="P73" s="463">
        <f t="shared" si="11"/>
        <v>0</v>
      </c>
      <c r="Q73" s="72"/>
    </row>
    <row r="74" spans="1:19" s="16" customFormat="1" ht="11.25">
      <c r="A74" s="13">
        <v>231</v>
      </c>
      <c r="B74" s="14" t="s">
        <v>112</v>
      </c>
      <c r="C74" s="17">
        <v>420</v>
      </c>
      <c r="D74" s="17">
        <v>387</v>
      </c>
      <c r="E74" s="18">
        <f>+C74</f>
        <v>420</v>
      </c>
      <c r="F74" s="18">
        <v>318</v>
      </c>
      <c r="G74" s="19">
        <f>+F74/E74</f>
        <v>0.7571428571428571</v>
      </c>
      <c r="H74" s="18">
        <f>+C74+145</f>
        <v>565</v>
      </c>
      <c r="J74" s="491"/>
      <c r="K74" s="592">
        <v>2500</v>
      </c>
      <c r="L74" s="165"/>
      <c r="M74" s="165"/>
      <c r="N74" s="165"/>
      <c r="O74" s="165"/>
      <c r="P74" s="165"/>
      <c r="Q74" s="72"/>
      <c r="S74" s="72"/>
    </row>
    <row r="75" spans="1:17" s="16" customFormat="1" ht="11.25">
      <c r="A75" s="23">
        <v>233001</v>
      </c>
      <c r="B75" s="24" t="s">
        <v>113</v>
      </c>
      <c r="C75" s="25">
        <v>529</v>
      </c>
      <c r="D75" s="25">
        <v>437</v>
      </c>
      <c r="E75" s="18">
        <f>+C75</f>
        <v>529</v>
      </c>
      <c r="F75" s="26">
        <v>128</v>
      </c>
      <c r="G75" s="19">
        <f>+F75/E75</f>
        <v>0.24196597353497165</v>
      </c>
      <c r="H75" s="18">
        <v>150</v>
      </c>
      <c r="J75" s="491">
        <v>405</v>
      </c>
      <c r="K75" s="592">
        <v>500</v>
      </c>
      <c r="L75" s="165">
        <v>750</v>
      </c>
      <c r="M75" s="165">
        <v>898</v>
      </c>
      <c r="N75" s="165">
        <v>750</v>
      </c>
      <c r="O75" s="165">
        <v>0</v>
      </c>
      <c r="P75" s="165">
        <v>0</v>
      </c>
      <c r="Q75" s="419"/>
    </row>
    <row r="76" spans="1:17" s="16" customFormat="1" ht="11.25">
      <c r="A76" s="351" t="s">
        <v>117</v>
      </c>
      <c r="B76" s="352"/>
      <c r="C76" s="353"/>
      <c r="D76" s="353"/>
      <c r="E76" s="354"/>
      <c r="F76" s="355"/>
      <c r="G76" s="228"/>
      <c r="H76" s="354"/>
      <c r="I76" s="229"/>
      <c r="J76" s="497">
        <f aca="true" t="shared" si="12" ref="J76:P76">SUM(J77:J77)</f>
        <v>0</v>
      </c>
      <c r="K76" s="609">
        <f t="shared" si="12"/>
        <v>281770.42</v>
      </c>
      <c r="L76" s="463">
        <f t="shared" si="12"/>
        <v>30158</v>
      </c>
      <c r="M76" s="463">
        <f t="shared" si="12"/>
        <v>28078</v>
      </c>
      <c r="N76" s="463">
        <f t="shared" si="12"/>
        <v>0</v>
      </c>
      <c r="O76" s="463">
        <f t="shared" si="12"/>
        <v>0</v>
      </c>
      <c r="P76" s="463">
        <f t="shared" si="12"/>
        <v>0</v>
      </c>
      <c r="Q76" s="72"/>
    </row>
    <row r="77" spans="1:17" s="16" customFormat="1" ht="11.25">
      <c r="A77" s="22">
        <v>322</v>
      </c>
      <c r="B77" s="14" t="s">
        <v>311</v>
      </c>
      <c r="C77" s="26"/>
      <c r="D77" s="12"/>
      <c r="E77" s="26"/>
      <c r="F77" s="26"/>
      <c r="G77" s="19"/>
      <c r="H77" s="26">
        <v>468</v>
      </c>
      <c r="J77" s="491">
        <v>0</v>
      </c>
      <c r="K77" s="592">
        <v>281770.42</v>
      </c>
      <c r="L77" s="165">
        <v>30158</v>
      </c>
      <c r="M77" s="165">
        <v>28078</v>
      </c>
      <c r="N77" s="165">
        <v>0</v>
      </c>
      <c r="O77" s="165">
        <v>0</v>
      </c>
      <c r="P77" s="165">
        <v>0</v>
      </c>
      <c r="Q77" s="72"/>
    </row>
    <row r="78" spans="1:17" s="16" customFormat="1" ht="12" thickBot="1">
      <c r="A78" s="238" t="s">
        <v>1</v>
      </c>
      <c r="B78" s="244"/>
      <c r="C78" s="245">
        <f>SUM(C74:C77)</f>
        <v>949</v>
      </c>
      <c r="D78" s="245">
        <f>SUM(D74:D77)</f>
        <v>824</v>
      </c>
      <c r="E78" s="245">
        <f>SUM(E74:E77)</f>
        <v>949</v>
      </c>
      <c r="F78" s="245">
        <f>SUM(F74:F77)</f>
        <v>446</v>
      </c>
      <c r="G78" s="246"/>
      <c r="H78" s="245">
        <f>SUM(H74:H77)</f>
        <v>1183</v>
      </c>
      <c r="I78" s="243"/>
      <c r="J78" s="498">
        <f aca="true" t="shared" si="13" ref="J78:P78">SUM(J73+J76)</f>
        <v>405</v>
      </c>
      <c r="K78" s="610">
        <f t="shared" si="13"/>
        <v>284770.42</v>
      </c>
      <c r="L78" s="469">
        <f t="shared" si="13"/>
        <v>30908</v>
      </c>
      <c r="M78" s="469">
        <f t="shared" si="13"/>
        <v>28976</v>
      </c>
      <c r="N78" s="469">
        <f t="shared" si="13"/>
        <v>750</v>
      </c>
      <c r="O78" s="469">
        <f t="shared" si="13"/>
        <v>0</v>
      </c>
      <c r="P78" s="469">
        <f t="shared" si="13"/>
        <v>0</v>
      </c>
      <c r="Q78" s="72"/>
    </row>
    <row r="79" spans="1:17" s="16" customFormat="1" ht="12.75" thickBot="1" thickTop="1">
      <c r="A79" s="54"/>
      <c r="B79" s="55"/>
      <c r="C79" s="32"/>
      <c r="D79" s="32"/>
      <c r="E79" s="32"/>
      <c r="F79" s="32"/>
      <c r="G79" s="31"/>
      <c r="H79" s="32"/>
      <c r="J79" s="427"/>
      <c r="K79" s="440"/>
      <c r="L79" s="440"/>
      <c r="M79" s="622"/>
      <c r="N79" s="440"/>
      <c r="O79" s="440"/>
      <c r="P79" s="440"/>
      <c r="Q79" s="72"/>
    </row>
    <row r="80" spans="1:17" s="16" customFormat="1" ht="34.5" thickTop="1">
      <c r="A80" s="214" t="s">
        <v>115</v>
      </c>
      <c r="B80" s="215"/>
      <c r="C80" s="206" t="s">
        <v>38</v>
      </c>
      <c r="D80" s="206" t="s">
        <v>28</v>
      </c>
      <c r="E80" s="205" t="s">
        <v>39</v>
      </c>
      <c r="F80" s="206" t="s">
        <v>37</v>
      </c>
      <c r="G80" s="207"/>
      <c r="H80" s="205" t="s">
        <v>61</v>
      </c>
      <c r="I80" s="208"/>
      <c r="J80" s="257" t="s">
        <v>366</v>
      </c>
      <c r="K80" s="439" t="s">
        <v>396</v>
      </c>
      <c r="L80" s="564" t="s">
        <v>364</v>
      </c>
      <c r="M80" s="621" t="s">
        <v>393</v>
      </c>
      <c r="N80" s="564" t="s">
        <v>365</v>
      </c>
      <c r="O80" s="564" t="s">
        <v>394</v>
      </c>
      <c r="P80" s="564" t="s">
        <v>395</v>
      </c>
      <c r="Q80" s="72"/>
    </row>
    <row r="81" spans="1:17" s="16" customFormat="1" ht="9.75" customHeight="1">
      <c r="A81" s="348" t="s">
        <v>118</v>
      </c>
      <c r="B81" s="225"/>
      <c r="C81" s="355" t="s">
        <v>0</v>
      </c>
      <c r="D81" s="350"/>
      <c r="E81" s="355"/>
      <c r="F81" s="355"/>
      <c r="G81" s="228"/>
      <c r="H81" s="237"/>
      <c r="I81" s="229"/>
      <c r="J81" s="497">
        <f aca="true" t="shared" si="14" ref="J81:P81">SUM(J82:J84)</f>
        <v>31842.88</v>
      </c>
      <c r="K81" s="609">
        <f t="shared" si="14"/>
        <v>20685.839999999997</v>
      </c>
      <c r="L81" s="463">
        <f t="shared" si="14"/>
        <v>9000</v>
      </c>
      <c r="M81" s="463">
        <f t="shared" si="14"/>
        <v>9000</v>
      </c>
      <c r="N81" s="463">
        <f t="shared" si="14"/>
        <v>9000</v>
      </c>
      <c r="O81" s="463">
        <f t="shared" si="14"/>
        <v>0</v>
      </c>
      <c r="P81" s="463">
        <f t="shared" si="14"/>
        <v>0</v>
      </c>
      <c r="Q81" s="72"/>
    </row>
    <row r="82" spans="1:17" s="16" customFormat="1" ht="9.75" customHeight="1">
      <c r="A82" s="22">
        <v>453</v>
      </c>
      <c r="B82" s="14" t="s">
        <v>282</v>
      </c>
      <c r="C82" s="12"/>
      <c r="D82" s="12"/>
      <c r="E82" s="26"/>
      <c r="F82" s="18"/>
      <c r="G82" s="56"/>
      <c r="H82" s="37"/>
      <c r="J82" s="491">
        <v>349.05</v>
      </c>
      <c r="K82" s="592">
        <v>1973.42</v>
      </c>
      <c r="L82" s="165">
        <v>0</v>
      </c>
      <c r="M82" s="165">
        <v>0</v>
      </c>
      <c r="N82" s="165">
        <v>0</v>
      </c>
      <c r="O82" s="165">
        <v>0</v>
      </c>
      <c r="P82" s="165">
        <v>0</v>
      </c>
      <c r="Q82" s="72"/>
    </row>
    <row r="83" spans="1:17" s="16" customFormat="1" ht="9.75" customHeight="1">
      <c r="A83" s="22">
        <v>453</v>
      </c>
      <c r="B83" s="14" t="s">
        <v>294</v>
      </c>
      <c r="C83" s="12"/>
      <c r="D83" s="12"/>
      <c r="E83" s="26"/>
      <c r="F83" s="18"/>
      <c r="G83" s="56"/>
      <c r="H83" s="37"/>
      <c r="J83" s="491">
        <v>560.25</v>
      </c>
      <c r="K83" s="592">
        <v>1109.25</v>
      </c>
      <c r="L83" s="165">
        <v>9000</v>
      </c>
      <c r="M83" s="165">
        <v>9000</v>
      </c>
      <c r="N83" s="165">
        <v>9000</v>
      </c>
      <c r="O83" s="165">
        <v>0</v>
      </c>
      <c r="P83" s="165">
        <v>0</v>
      </c>
      <c r="Q83" s="72"/>
    </row>
    <row r="84" spans="1:17" s="16" customFormat="1" ht="9.75" customHeight="1">
      <c r="A84" s="22">
        <v>454001</v>
      </c>
      <c r="B84" s="14" t="s">
        <v>114</v>
      </c>
      <c r="C84" s="43">
        <v>2782</v>
      </c>
      <c r="D84" s="12"/>
      <c r="E84" s="26">
        <f>1248+C84</f>
        <v>4030</v>
      </c>
      <c r="F84" s="18">
        <v>2448</v>
      </c>
      <c r="G84" s="56">
        <f>+F84/E84</f>
        <v>0.6074441687344914</v>
      </c>
      <c r="H84" s="37">
        <v>4030</v>
      </c>
      <c r="I84" s="39"/>
      <c r="J84" s="491">
        <v>30933.58</v>
      </c>
      <c r="K84" s="592">
        <v>17603.17</v>
      </c>
      <c r="L84" s="165"/>
      <c r="M84" s="165"/>
      <c r="N84" s="165"/>
      <c r="O84" s="165"/>
      <c r="P84" s="165"/>
      <c r="Q84" s="72"/>
    </row>
    <row r="85" spans="1:17" s="16" customFormat="1" ht="9.75" customHeight="1">
      <c r="A85" s="356" t="s">
        <v>123</v>
      </c>
      <c r="B85" s="225"/>
      <c r="C85" s="357"/>
      <c r="D85" s="350"/>
      <c r="E85" s="354"/>
      <c r="F85" s="354"/>
      <c r="G85" s="358"/>
      <c r="H85" s="227"/>
      <c r="I85" s="229"/>
      <c r="J85" s="499">
        <f aca="true" t="shared" si="15" ref="J85:P85">SUM(J86:J87)</f>
        <v>0</v>
      </c>
      <c r="K85" s="611">
        <f t="shared" si="15"/>
        <v>26425.87</v>
      </c>
      <c r="L85" s="464">
        <f t="shared" si="15"/>
        <v>0</v>
      </c>
      <c r="M85" s="464">
        <f t="shared" si="15"/>
        <v>0</v>
      </c>
      <c r="N85" s="464">
        <f t="shared" si="15"/>
        <v>0</v>
      </c>
      <c r="O85" s="464">
        <f t="shared" si="15"/>
        <v>0</v>
      </c>
      <c r="P85" s="464">
        <f t="shared" si="15"/>
        <v>0</v>
      </c>
      <c r="Q85" s="72"/>
    </row>
    <row r="86" spans="1:17" s="16" customFormat="1" ht="9.75" customHeight="1">
      <c r="A86" s="22">
        <v>513001</v>
      </c>
      <c r="B86" s="14" t="s">
        <v>317</v>
      </c>
      <c r="C86" s="20">
        <v>39</v>
      </c>
      <c r="D86" s="12"/>
      <c r="E86" s="18">
        <f>+C86</f>
        <v>39</v>
      </c>
      <c r="F86" s="18">
        <v>39</v>
      </c>
      <c r="G86" s="56">
        <f>+F86/E86</f>
        <v>1</v>
      </c>
      <c r="H86" s="37">
        <v>39</v>
      </c>
      <c r="J86" s="491"/>
      <c r="K86" s="592">
        <v>26425.87</v>
      </c>
      <c r="L86" s="165">
        <v>0</v>
      </c>
      <c r="M86" s="165">
        <v>0</v>
      </c>
      <c r="N86" s="165">
        <v>0</v>
      </c>
      <c r="O86" s="165">
        <v>0</v>
      </c>
      <c r="P86" s="165">
        <v>0</v>
      </c>
      <c r="Q86" s="72"/>
    </row>
    <row r="87" spans="1:17" s="16" customFormat="1" ht="9.75" customHeight="1">
      <c r="A87" s="22">
        <v>513002</v>
      </c>
      <c r="B87" s="14" t="s">
        <v>249</v>
      </c>
      <c r="C87" s="20"/>
      <c r="D87" s="12"/>
      <c r="E87" s="18"/>
      <c r="F87" s="18"/>
      <c r="G87" s="56"/>
      <c r="H87" s="37"/>
      <c r="J87" s="491"/>
      <c r="K87" s="592">
        <v>0</v>
      </c>
      <c r="L87" s="165">
        <v>0</v>
      </c>
      <c r="M87" s="165"/>
      <c r="N87" s="165">
        <v>0</v>
      </c>
      <c r="O87" s="165"/>
      <c r="P87" s="165"/>
      <c r="Q87" s="72"/>
    </row>
    <row r="88" spans="1:17" s="16" customFormat="1" ht="9.75" customHeight="1">
      <c r="A88" s="247" t="s">
        <v>115</v>
      </c>
      <c r="B88" s="248"/>
      <c r="C88" s="249">
        <f>SUM(C82:C87)</f>
        <v>2821</v>
      </c>
      <c r="D88" s="249">
        <f>SUM(D82:D87)</f>
        <v>0</v>
      </c>
      <c r="E88" s="249">
        <f>SUM(E82:E87)</f>
        <v>4069</v>
      </c>
      <c r="F88" s="249">
        <f>SUM(F82:F87)</f>
        <v>2487</v>
      </c>
      <c r="G88" s="250">
        <f>+F88/E88</f>
        <v>0.6112066846891128</v>
      </c>
      <c r="H88" s="249">
        <f>SUM(H82:H87)</f>
        <v>4069</v>
      </c>
      <c r="I88" s="243"/>
      <c r="J88" s="500">
        <f aca="true" t="shared" si="16" ref="J88:P88">SUM(J81+J85)</f>
        <v>31842.88</v>
      </c>
      <c r="K88" s="612">
        <f t="shared" si="16"/>
        <v>47111.70999999999</v>
      </c>
      <c r="L88" s="465">
        <f t="shared" si="16"/>
        <v>9000</v>
      </c>
      <c r="M88" s="465">
        <f t="shared" si="16"/>
        <v>9000</v>
      </c>
      <c r="N88" s="465">
        <f t="shared" si="16"/>
        <v>9000</v>
      </c>
      <c r="O88" s="465">
        <f t="shared" si="16"/>
        <v>0</v>
      </c>
      <c r="P88" s="465">
        <f t="shared" si="16"/>
        <v>0</v>
      </c>
      <c r="Q88" s="72"/>
    </row>
    <row r="89" spans="1:17" s="16" customFormat="1" ht="11.25">
      <c r="A89" s="36"/>
      <c r="B89" s="14"/>
      <c r="C89" s="45"/>
      <c r="D89" s="45"/>
      <c r="E89" s="37"/>
      <c r="F89" s="57"/>
      <c r="G89" s="19"/>
      <c r="H89" s="37"/>
      <c r="J89" s="501"/>
      <c r="K89" s="613"/>
      <c r="L89" s="466"/>
      <c r="M89" s="466"/>
      <c r="N89" s="466"/>
      <c r="O89" s="466"/>
      <c r="P89" s="466"/>
      <c r="Q89" s="72"/>
    </row>
    <row r="90" spans="1:17" s="16" customFormat="1" ht="15">
      <c r="A90" s="216" t="s">
        <v>21</v>
      </c>
      <c r="B90" s="217"/>
      <c r="C90" s="218" t="e">
        <f>+#REF!</f>
        <v>#REF!</v>
      </c>
      <c r="D90" s="218" t="e">
        <f>+#REF!</f>
        <v>#REF!</v>
      </c>
      <c r="E90" s="218" t="e">
        <f>+#REF!</f>
        <v>#REF!</v>
      </c>
      <c r="F90" s="218" t="e">
        <f>+#REF!</f>
        <v>#REF!</v>
      </c>
      <c r="G90" s="219" t="e">
        <f>+F90/E90</f>
        <v>#REF!</v>
      </c>
      <c r="H90" s="218" t="e">
        <f>+#REF!</f>
        <v>#REF!</v>
      </c>
      <c r="I90" s="220"/>
      <c r="J90" s="502">
        <f aca="true" t="shared" si="17" ref="J90:P90">J70</f>
        <v>224321.57</v>
      </c>
      <c r="K90" s="614">
        <f t="shared" si="17"/>
        <v>219433.66</v>
      </c>
      <c r="L90" s="467">
        <f t="shared" si="17"/>
        <v>172405</v>
      </c>
      <c r="M90" s="467">
        <f t="shared" si="17"/>
        <v>239676</v>
      </c>
      <c r="N90" s="467">
        <f t="shared" si="17"/>
        <v>179700</v>
      </c>
      <c r="O90" s="467">
        <f t="shared" si="17"/>
        <v>175948</v>
      </c>
      <c r="P90" s="467">
        <f t="shared" si="17"/>
        <v>176948</v>
      </c>
      <c r="Q90" s="72"/>
    </row>
    <row r="91" spans="1:17" s="16" customFormat="1" ht="15">
      <c r="A91" s="216" t="s">
        <v>20</v>
      </c>
      <c r="B91" s="217"/>
      <c r="C91" s="218" t="e">
        <f>+#REF!</f>
        <v>#REF!</v>
      </c>
      <c r="D91" s="218" t="e">
        <f>+#REF!</f>
        <v>#REF!</v>
      </c>
      <c r="E91" s="218" t="e">
        <f>+#REF!</f>
        <v>#REF!</v>
      </c>
      <c r="F91" s="218" t="e">
        <f>+#REF!</f>
        <v>#REF!</v>
      </c>
      <c r="G91" s="219" t="e">
        <f>+F91/E91</f>
        <v>#REF!</v>
      </c>
      <c r="H91" s="218" t="e">
        <f>+#REF!</f>
        <v>#REF!</v>
      </c>
      <c r="I91" s="220"/>
      <c r="J91" s="502">
        <f aca="true" t="shared" si="18" ref="J91:P91">J78</f>
        <v>405</v>
      </c>
      <c r="K91" s="614">
        <f t="shared" si="18"/>
        <v>284770.42</v>
      </c>
      <c r="L91" s="467">
        <f t="shared" si="18"/>
        <v>30908</v>
      </c>
      <c r="M91" s="467">
        <f t="shared" si="18"/>
        <v>28976</v>
      </c>
      <c r="N91" s="467">
        <f t="shared" si="18"/>
        <v>750</v>
      </c>
      <c r="O91" s="467">
        <f t="shared" si="18"/>
        <v>0</v>
      </c>
      <c r="P91" s="467">
        <f t="shared" si="18"/>
        <v>0</v>
      </c>
      <c r="Q91" s="72"/>
    </row>
    <row r="92" spans="1:17" s="58" customFormat="1" ht="15">
      <c r="A92" s="216" t="s">
        <v>115</v>
      </c>
      <c r="B92" s="217"/>
      <c r="C92" s="218">
        <f>+C88</f>
        <v>2821</v>
      </c>
      <c r="D92" s="218">
        <f>+D88</f>
        <v>0</v>
      </c>
      <c r="E92" s="218">
        <f>+E88</f>
        <v>4069</v>
      </c>
      <c r="F92" s="218">
        <f>+F88</f>
        <v>2487</v>
      </c>
      <c r="G92" s="219">
        <f>+F92/E92</f>
        <v>0.6112066846891128</v>
      </c>
      <c r="H92" s="218">
        <f>+H88</f>
        <v>4069</v>
      </c>
      <c r="I92" s="221"/>
      <c r="J92" s="502">
        <f aca="true" t="shared" si="19" ref="J92:P92">J88</f>
        <v>31842.88</v>
      </c>
      <c r="K92" s="614">
        <f t="shared" si="19"/>
        <v>47111.70999999999</v>
      </c>
      <c r="L92" s="467">
        <f t="shared" si="19"/>
        <v>9000</v>
      </c>
      <c r="M92" s="467">
        <f t="shared" si="19"/>
        <v>9000</v>
      </c>
      <c r="N92" s="467">
        <f t="shared" si="19"/>
        <v>9000</v>
      </c>
      <c r="O92" s="467">
        <f t="shared" si="19"/>
        <v>0</v>
      </c>
      <c r="P92" s="467">
        <f t="shared" si="19"/>
        <v>0</v>
      </c>
      <c r="Q92" s="428"/>
    </row>
    <row r="93" spans="1:17" s="58" customFormat="1" ht="15">
      <c r="A93" s="360"/>
      <c r="B93" s="361"/>
      <c r="C93" s="362"/>
      <c r="D93" s="362"/>
      <c r="E93" s="362"/>
      <c r="F93" s="362"/>
      <c r="G93" s="219"/>
      <c r="H93" s="362"/>
      <c r="I93" s="221"/>
      <c r="J93" s="503"/>
      <c r="K93" s="615"/>
      <c r="L93" s="468"/>
      <c r="M93" s="468"/>
      <c r="N93" s="468"/>
      <c r="O93" s="468"/>
      <c r="P93" s="468"/>
      <c r="Q93" s="428"/>
    </row>
    <row r="94" spans="1:16" s="58" customFormat="1" ht="15.75" thickBot="1">
      <c r="A94" s="281" t="s">
        <v>22</v>
      </c>
      <c r="B94" s="282"/>
      <c r="C94" s="283" t="e">
        <f>+C91+C90+C92</f>
        <v>#REF!</v>
      </c>
      <c r="D94" s="283" t="e">
        <f>+D91+D90+D92</f>
        <v>#REF!</v>
      </c>
      <c r="E94" s="283" t="e">
        <f>+E91+E90+E92</f>
        <v>#REF!</v>
      </c>
      <c r="F94" s="283" t="e">
        <f>SUM(F90:F92)</f>
        <v>#REF!</v>
      </c>
      <c r="G94" s="284" t="e">
        <f>+F94/E94</f>
        <v>#REF!</v>
      </c>
      <c r="H94" s="283" t="e">
        <f>+H91+H90+H92+#REF!</f>
        <v>#REF!</v>
      </c>
      <c r="I94" s="285"/>
      <c r="J94" s="511">
        <f>SUM(J70+J78+J88)</f>
        <v>256569.45</v>
      </c>
      <c r="K94" s="616">
        <f aca="true" t="shared" si="20" ref="K94:P94">SUM(K90:K92)</f>
        <v>551315.7899999999</v>
      </c>
      <c r="L94" s="470">
        <f t="shared" si="20"/>
        <v>212313</v>
      </c>
      <c r="M94" s="470">
        <f t="shared" si="20"/>
        <v>277652</v>
      </c>
      <c r="N94" s="470">
        <f t="shared" si="20"/>
        <v>189450</v>
      </c>
      <c r="O94" s="470">
        <f t="shared" si="20"/>
        <v>175948</v>
      </c>
      <c r="P94" s="470">
        <f t="shared" si="20"/>
        <v>176948</v>
      </c>
    </row>
    <row r="95" s="58" customFormat="1" ht="13.5" thickTop="1">
      <c r="A95" s="59"/>
    </row>
    <row r="96" s="58" customFormat="1" ht="12.75">
      <c r="A96" s="59"/>
    </row>
    <row r="97" spans="1:8" ht="15.75">
      <c r="A97" s="59"/>
      <c r="B97" s="60"/>
      <c r="C97" s="60"/>
      <c r="D97" s="60"/>
      <c r="E97" s="60"/>
      <c r="F97" s="61"/>
      <c r="H97" s="63"/>
    </row>
    <row r="108" spans="1:16" ht="12.7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</row>
    <row r="109" spans="1:16" ht="12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</row>
    <row r="110" spans="1:16" ht="12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</row>
    <row r="111" spans="1:16" ht="12.7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</row>
    <row r="112" spans="1:16" ht="12.75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</row>
    <row r="113" spans="1:16" ht="12.75">
      <c r="A113" s="65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</row>
    <row r="114" spans="1:16" ht="12.75">
      <c r="A114" s="65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</row>
    <row r="115" spans="1:16" ht="12.75">
      <c r="A115" s="65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</row>
    <row r="116" spans="1:16" ht="12.75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</row>
    <row r="117" spans="1:16" ht="12.75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</row>
    <row r="118" spans="1:16" ht="12.75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</row>
    <row r="119" spans="1:16" ht="12.75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</row>
    <row r="120" spans="1:16" ht="12.75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</row>
    <row r="121" spans="1:16" ht="12.75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1:16" ht="12.75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</row>
    <row r="123" spans="1:16" ht="12.75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</row>
    <row r="124" spans="1:16" ht="12.75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</row>
    <row r="125" spans="1:16" ht="12.75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</row>
    <row r="126" spans="1:16" ht="12.75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</row>
    <row r="127" spans="1:16" ht="12.75">
      <c r="A127" s="65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</row>
    <row r="128" spans="1:16" ht="12.75">
      <c r="A128" s="65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</row>
    <row r="129" spans="1:16" ht="12.75">
      <c r="A129" s="65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</row>
    <row r="130" spans="1:16" ht="12.75">
      <c r="A130" s="65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</row>
    <row r="131" spans="1:16" ht="12.75">
      <c r="A131" s="65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</row>
    <row r="132" spans="1:16" ht="12.75">
      <c r="A132" s="65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</row>
    <row r="133" spans="1:16" ht="12.75">
      <c r="A133" s="65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</row>
    <row r="134" spans="1:16" ht="12.75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</row>
    <row r="135" spans="1:16" ht="12.75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</row>
    <row r="136" spans="1:16" ht="12.7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</row>
    <row r="137" spans="1:16" ht="12.75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</row>
    <row r="138" spans="1:16" ht="12.75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</row>
    <row r="139" spans="1:16" ht="12.75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</row>
    <row r="140" spans="1:16" ht="12.7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</row>
    <row r="141" spans="1:16" ht="12.75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</row>
    <row r="142" spans="1:16" ht="12.75">
      <c r="A142" s="65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</row>
    <row r="143" spans="1:16" ht="12.75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</row>
    <row r="144" spans="1:16" ht="12.75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</row>
    <row r="145" spans="1:16" ht="12.75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</row>
    <row r="146" spans="1:16" ht="12.75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</row>
    <row r="147" spans="1:16" ht="12.75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</row>
    <row r="148" spans="1:16" ht="12.75">
      <c r="A148" s="6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</row>
    <row r="149" spans="1:16" ht="12.7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</row>
    <row r="150" spans="1:16" ht="12.75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</row>
    <row r="151" spans="1:16" ht="12.75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</row>
    <row r="152" spans="1:16" ht="12.75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16" ht="12.75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</row>
    <row r="154" spans="1:16" ht="12.75">
      <c r="A154" s="65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</row>
    <row r="155" spans="1:16" ht="12.75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</row>
    <row r="156" spans="1:16" ht="12.75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</row>
    <row r="157" spans="1:16" ht="12.75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</row>
    <row r="158" spans="1:16" ht="12.75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</row>
    <row r="159" spans="1:16" ht="12.75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</row>
    <row r="160" spans="1:16" ht="12.75">
      <c r="A160" s="6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</row>
    <row r="161" spans="1:16" ht="12.75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</row>
    <row r="162" spans="1:16" ht="12.75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</row>
    <row r="163" spans="1:16" ht="12.75">
      <c r="A163" s="65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</row>
    <row r="164" spans="1:16" ht="12.75">
      <c r="A164" s="65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</row>
    <row r="165" spans="1:16" ht="12.75">
      <c r="A165" s="65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</row>
    <row r="166" spans="1:16" ht="12.75">
      <c r="A166" s="65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</row>
    <row r="167" spans="1:16" ht="12.75">
      <c r="A167" s="65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</row>
    <row r="168" spans="1:16" ht="12.75">
      <c r="A168" s="65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</row>
    <row r="169" spans="1:16" ht="12.75">
      <c r="A169" s="65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</row>
    <row r="170" spans="1:16" ht="12.75">
      <c r="A170" s="65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</row>
    <row r="171" spans="1:16" ht="12.75">
      <c r="A171" s="65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</row>
    <row r="172" spans="1:16" ht="12.75">
      <c r="A172" s="6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</row>
    <row r="173" spans="1:16" ht="12.75">
      <c r="A173" s="65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</row>
    <row r="174" spans="1:16" ht="12.75">
      <c r="A174" s="65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</row>
    <row r="175" spans="1:16" ht="12.75">
      <c r="A175" s="65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</row>
    <row r="176" spans="1:16" ht="12.75">
      <c r="A176" s="65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</row>
    <row r="177" spans="1:16" ht="12.75">
      <c r="A177" s="65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</row>
    <row r="178" spans="1:16" ht="12.75">
      <c r="A178" s="65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</row>
    <row r="179" spans="1:16" ht="12.75">
      <c r="A179" s="65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</row>
    <row r="180" spans="1:16" ht="12.75">
      <c r="A180" s="65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</row>
    <row r="181" spans="1:16" ht="12.75">
      <c r="A181" s="65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</row>
    <row r="182" spans="1:16" ht="12.75">
      <c r="A182" s="65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</row>
    <row r="183" spans="1:16" ht="12.75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</row>
    <row r="184" spans="1:16" ht="12.75">
      <c r="A184" s="65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</row>
    <row r="185" spans="1:16" ht="12.75">
      <c r="A185" s="65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</row>
    <row r="186" spans="1:16" ht="12.75">
      <c r="A186" s="65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</row>
    <row r="187" spans="1:16" ht="12.75">
      <c r="A187" s="65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</row>
    <row r="188" spans="1:16" ht="12.75">
      <c r="A188" s="65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</row>
    <row r="189" spans="1:16" ht="12.75">
      <c r="A189" s="65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</row>
    <row r="190" spans="1:16" ht="12.75">
      <c r="A190" s="65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</row>
    <row r="191" spans="1:16" ht="12.75">
      <c r="A191" s="65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</row>
    <row r="192" spans="1:16" ht="12.75">
      <c r="A192" s="6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</row>
    <row r="193" spans="1:16" ht="12.75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</row>
    <row r="194" spans="1:16" ht="12.75">
      <c r="A194" s="65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</row>
    <row r="195" spans="1:16" ht="12.75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</row>
    <row r="196" spans="1:16" ht="12.75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</row>
    <row r="197" spans="1:16" ht="12.75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</row>
    <row r="198" spans="1:16" ht="12.75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</row>
    <row r="199" spans="1:16" ht="12.75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</row>
    <row r="200" spans="1:16" ht="12.75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</row>
    <row r="201" spans="1:16" ht="12.75">
      <c r="A201" s="65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</row>
    <row r="202" spans="1:16" ht="12.75">
      <c r="A202" s="65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</row>
    <row r="203" spans="1:16" ht="12.75">
      <c r="A203" s="65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</row>
    <row r="204" spans="1:16" ht="12.75">
      <c r="A204" s="65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</row>
    <row r="205" spans="1:16" ht="12.7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</row>
    <row r="206" spans="1:16" ht="12.7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</row>
    <row r="207" spans="1:16" ht="12.75">
      <c r="A207" s="65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</row>
    <row r="208" spans="1:16" ht="12.75">
      <c r="A208" s="65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</row>
    <row r="209" spans="1:16" ht="12.75">
      <c r="A209" s="65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</row>
    <row r="210" spans="1:16" ht="12.75">
      <c r="A210" s="65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</row>
    <row r="211" spans="1:16" ht="12.75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</row>
    <row r="212" spans="1:16" ht="12.75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</row>
    <row r="213" spans="1:16" ht="12.75">
      <c r="A213" s="65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</row>
    <row r="214" spans="1:16" ht="12.75">
      <c r="A214" s="65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</row>
    <row r="215" spans="1:16" ht="12.75">
      <c r="A215" s="65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</row>
    <row r="216" spans="1:16" ht="12.75">
      <c r="A216" s="65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</row>
    <row r="217" spans="1:16" ht="12.75">
      <c r="A217" s="65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</row>
    <row r="218" spans="1:16" ht="12.75">
      <c r="A218" s="65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</row>
    <row r="219" spans="1:16" ht="12.75">
      <c r="A219" s="65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</row>
    <row r="220" spans="1:16" ht="12.75">
      <c r="A220" s="65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</row>
    <row r="221" spans="1:16" ht="12.75">
      <c r="A221" s="65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</row>
    <row r="222" spans="1:16" ht="12.75">
      <c r="A222" s="65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</row>
    <row r="223" spans="1:16" ht="12.75">
      <c r="A223" s="65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</row>
    <row r="224" spans="1:16" ht="12.75">
      <c r="A224" s="65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</row>
    <row r="225" spans="1:16" ht="12.75">
      <c r="A225" s="65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</row>
    <row r="226" spans="1:16" ht="12.75">
      <c r="A226" s="65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</row>
    <row r="227" spans="1:16" ht="12.75">
      <c r="A227" s="65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</row>
    <row r="228" spans="1:16" ht="12.75">
      <c r="A228" s="65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</row>
    <row r="229" spans="1:16" ht="12.75">
      <c r="A229" s="65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</row>
    <row r="230" spans="1:16" ht="12.75">
      <c r="A230" s="65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</row>
    <row r="231" spans="1:16" ht="12.75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</row>
    <row r="232" spans="1:16" ht="12.75">
      <c r="A232" s="65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</row>
    <row r="233" spans="1:16" ht="12.75">
      <c r="A233" s="65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</row>
    <row r="234" spans="1:16" ht="12.75">
      <c r="A234" s="65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</row>
    <row r="235" spans="1:16" ht="12.75">
      <c r="A235" s="65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</row>
    <row r="236" spans="1:16" ht="12.75">
      <c r="A236" s="65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</row>
    <row r="237" spans="1:16" ht="12.75">
      <c r="A237" s="65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</row>
    <row r="238" spans="1:16" ht="12.75">
      <c r="A238" s="65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</row>
    <row r="239" spans="1:16" ht="12.75">
      <c r="A239" s="65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</row>
    <row r="240" spans="1:16" ht="12.75">
      <c r="A240" s="65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</row>
    <row r="241" spans="1:16" ht="12.75">
      <c r="A241" s="65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</row>
    <row r="242" spans="1:16" ht="12.75">
      <c r="A242" s="65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</row>
    <row r="243" spans="1:16" ht="12.75">
      <c r="A243" s="65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</row>
    <row r="244" spans="1:16" ht="12.75">
      <c r="A244" s="65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</row>
    <row r="245" spans="1:16" ht="12.75">
      <c r="A245" s="65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</row>
    <row r="246" spans="1:16" ht="12.75">
      <c r="A246" s="65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</row>
    <row r="247" spans="1:16" ht="12.75">
      <c r="A247" s="65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</row>
    <row r="248" spans="1:16" ht="12.75">
      <c r="A248" s="65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</row>
    <row r="249" spans="1:16" ht="12.75">
      <c r="A249" s="65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</row>
    <row r="250" spans="1:16" ht="12.75">
      <c r="A250" s="65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</row>
    <row r="251" spans="1:16" ht="12.75">
      <c r="A251" s="65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</row>
    <row r="252" spans="1:16" ht="12.75">
      <c r="A252" s="65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</row>
    <row r="253" spans="1:16" ht="12.75">
      <c r="A253" s="65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</row>
    <row r="254" spans="1:16" ht="12.75">
      <c r="A254" s="65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</row>
    <row r="255" spans="1:16" ht="12.75">
      <c r="A255" s="65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</row>
    <row r="256" spans="1:16" ht="12.75">
      <c r="A256" s="65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</row>
    <row r="257" spans="1:16" ht="12.75">
      <c r="A257" s="65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</row>
    <row r="258" spans="1:16" ht="12.7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</row>
    <row r="259" spans="1:16" ht="12.75">
      <c r="A259" s="65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</row>
    <row r="260" spans="1:16" ht="12.75">
      <c r="A260" s="65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</row>
    <row r="261" spans="1:16" ht="12.75">
      <c r="A261" s="65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</row>
    <row r="262" spans="1:16" ht="12.75">
      <c r="A262" s="65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</row>
    <row r="263" spans="1:16" ht="12.75">
      <c r="A263" s="65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</row>
    <row r="264" spans="1:16" ht="12.75">
      <c r="A264" s="65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</row>
    <row r="265" spans="1:16" ht="12.75">
      <c r="A265" s="65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</row>
    <row r="266" spans="1:16" ht="12.75">
      <c r="A266" s="65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</row>
    <row r="267" spans="1:16" ht="12.75">
      <c r="A267" s="65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</row>
    <row r="268" spans="1:16" ht="12.75">
      <c r="A268" s="65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</row>
    <row r="269" spans="1:16" ht="12.75">
      <c r="A269" s="65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</row>
    <row r="270" spans="1:16" ht="12.75">
      <c r="A270" s="65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</row>
    <row r="271" spans="1:16" ht="12.75">
      <c r="A271" s="65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</row>
    <row r="272" spans="1:16" ht="12.75">
      <c r="A272" s="65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</row>
    <row r="273" spans="1:16" ht="12.75">
      <c r="A273" s="65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</row>
    <row r="274" spans="1:16" ht="12.75">
      <c r="A274" s="65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</row>
    <row r="275" spans="1:16" ht="12.75">
      <c r="A275" s="65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</row>
    <row r="276" spans="1:16" ht="12.75">
      <c r="A276" s="65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</row>
    <row r="277" spans="1:16" ht="12.75">
      <c r="A277" s="65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</row>
    <row r="278" spans="1:16" ht="12.75">
      <c r="A278" s="65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</row>
    <row r="279" spans="1:16" ht="12.75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</row>
    <row r="280" spans="1:16" ht="12.75">
      <c r="A280" s="65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</row>
    <row r="281" spans="1:16" ht="12.75">
      <c r="A281" s="65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</row>
    <row r="282" spans="1:16" ht="12.75">
      <c r="A282" s="65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</row>
    <row r="283" spans="1:16" ht="12.75">
      <c r="A283" s="65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</row>
    <row r="284" spans="1:16" ht="12.75">
      <c r="A284" s="65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</row>
    <row r="285" spans="1:16" ht="12.75">
      <c r="A285" s="65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</row>
    <row r="286" spans="1:16" ht="12.75">
      <c r="A286" s="65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</row>
    <row r="287" spans="1:16" ht="12.75">
      <c r="A287" s="65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</row>
    <row r="288" spans="1:16" ht="12.75">
      <c r="A288" s="65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</row>
    <row r="289" spans="1:16" ht="12.75">
      <c r="A289" s="65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</row>
    <row r="290" spans="1:16" ht="12.75">
      <c r="A290" s="65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</row>
    <row r="291" spans="1:16" ht="12.75">
      <c r="A291" s="65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</row>
    <row r="292" spans="1:16" ht="12.75">
      <c r="A292" s="65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</row>
    <row r="293" spans="1:16" ht="12.75">
      <c r="A293" s="65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</row>
    <row r="294" spans="1:16" ht="12.75">
      <c r="A294" s="65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</row>
    <row r="295" spans="1:16" ht="12.75">
      <c r="A295" s="65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</row>
    <row r="296" spans="1:16" ht="12.75">
      <c r="A296" s="65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</row>
    <row r="297" spans="1:16" ht="12.75">
      <c r="A297" s="65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</row>
    <row r="298" spans="1:16" ht="12.75">
      <c r="A298" s="65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</row>
    <row r="299" spans="1:16" ht="12.75">
      <c r="A299" s="65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</row>
    <row r="300" spans="1:16" ht="12.75">
      <c r="A300" s="65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</row>
    <row r="301" spans="1:16" ht="12.75">
      <c r="A301" s="65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</row>
    <row r="302" spans="1:16" ht="12.75">
      <c r="A302" s="65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</row>
    <row r="303" spans="1:16" ht="12.75">
      <c r="A303" s="65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</row>
    <row r="304" spans="1:16" ht="12.75">
      <c r="A304" s="65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</row>
    <row r="305" spans="1:16" ht="12.75">
      <c r="A305" s="65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</row>
    <row r="306" spans="1:16" ht="12.75">
      <c r="A306" s="65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</row>
    <row r="307" spans="1:16" ht="12.75">
      <c r="A307" s="65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</row>
    <row r="308" spans="1:16" ht="12.75">
      <c r="A308" s="65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</row>
    <row r="309" spans="1:16" ht="12.75">
      <c r="A309" s="65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</row>
    <row r="310" spans="1:16" ht="12.75">
      <c r="A310" s="65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</row>
    <row r="311" spans="1:16" ht="12.75">
      <c r="A311" s="65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</row>
    <row r="312" spans="1:16" ht="12.75">
      <c r="A312" s="65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</row>
    <row r="313" spans="1:16" ht="12.75">
      <c r="A313" s="65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</row>
    <row r="314" spans="1:16" ht="12.75">
      <c r="A314" s="65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</row>
    <row r="315" spans="1:16" ht="12.75">
      <c r="A315" s="65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</row>
    <row r="316" spans="1:16" ht="12.75">
      <c r="A316" s="65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</row>
    <row r="317" spans="1:16" ht="12.75">
      <c r="A317" s="65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</row>
    <row r="318" spans="1:16" ht="12.75">
      <c r="A318" s="65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</row>
    <row r="319" spans="1:16" ht="12.75">
      <c r="A319" s="65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</row>
    <row r="320" spans="1:16" ht="12.75">
      <c r="A320" s="65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</row>
    <row r="321" spans="1:16" ht="12.75">
      <c r="A321" s="65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</row>
    <row r="322" spans="1:16" ht="12.75">
      <c r="A322" s="65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</row>
    <row r="323" spans="1:16" ht="12.75">
      <c r="A323" s="65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</row>
    <row r="324" spans="1:16" ht="12.75">
      <c r="A324" s="65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</row>
    <row r="325" spans="1:16" ht="12.75">
      <c r="A325" s="65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</row>
    <row r="326" spans="1:16" ht="12.75">
      <c r="A326" s="65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</row>
    <row r="327" spans="1:16" ht="12.75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</row>
    <row r="328" spans="1:16" ht="12.75">
      <c r="A328" s="65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</row>
    <row r="329" spans="1:16" ht="12.75">
      <c r="A329" s="65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</row>
    <row r="330" spans="1:16" ht="12.75">
      <c r="A330" s="65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</row>
    <row r="331" spans="1:16" ht="12.75">
      <c r="A331" s="65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</row>
    <row r="332" spans="1:16" ht="12.75">
      <c r="A332" s="65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</row>
    <row r="333" spans="1:16" ht="12.75">
      <c r="A333" s="65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</row>
    <row r="334" spans="1:16" ht="12.75">
      <c r="A334" s="65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</row>
    <row r="335" spans="1:16" ht="12.75">
      <c r="A335" s="65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</row>
    <row r="336" spans="1:16" ht="12.75">
      <c r="A336" s="65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</row>
    <row r="337" spans="1:16" ht="12.75">
      <c r="A337" s="65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</row>
    <row r="338" spans="1:16" ht="12.75">
      <c r="A338" s="65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</row>
    <row r="339" spans="1:16" ht="12.75">
      <c r="A339" s="65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</row>
    <row r="340" spans="1:16" ht="12.75">
      <c r="A340" s="65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</row>
    <row r="341" spans="1:16" ht="12.75">
      <c r="A341" s="65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</row>
    <row r="342" spans="1:16" ht="12.75">
      <c r="A342" s="65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</row>
    <row r="343" spans="1:16" ht="12.75">
      <c r="A343" s="65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</row>
    <row r="344" spans="1:16" ht="12.75">
      <c r="A344" s="65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</row>
    <row r="345" spans="1:16" ht="12.75">
      <c r="A345" s="65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</row>
    <row r="346" spans="1:16" ht="12.75">
      <c r="A346" s="65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</row>
    <row r="347" spans="1:16" ht="12.75">
      <c r="A347" s="65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</row>
    <row r="348" spans="1:16" ht="12.75">
      <c r="A348" s="65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</row>
    <row r="349" spans="1:16" ht="12.75">
      <c r="A349" s="65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</row>
    <row r="350" spans="1:16" ht="12.75">
      <c r="A350" s="65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</row>
    <row r="351" spans="1:16" ht="12.75">
      <c r="A351" s="65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</row>
    <row r="352" spans="1:16" ht="12.75">
      <c r="A352" s="65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</row>
    <row r="353" spans="1:16" ht="12.75">
      <c r="A353" s="65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</row>
    <row r="354" spans="1:16" ht="12.75">
      <c r="A354" s="65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</row>
    <row r="355" spans="1:16" ht="12.75">
      <c r="A355" s="65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</row>
    <row r="356" spans="1:16" ht="12.75">
      <c r="A356" s="65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</row>
    <row r="357" spans="1:16" ht="12.75">
      <c r="A357" s="65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</row>
    <row r="358" spans="1:16" ht="12.75">
      <c r="A358" s="65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</row>
    <row r="359" spans="1:16" ht="12.75">
      <c r="A359" s="65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</row>
    <row r="360" spans="1:16" ht="12.75">
      <c r="A360" s="65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</row>
    <row r="361" spans="1:16" ht="12.75">
      <c r="A361" s="65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</row>
    <row r="362" spans="1:16" ht="12.75">
      <c r="A362" s="65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</row>
    <row r="363" spans="1:16" ht="12.75">
      <c r="A363" s="65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</row>
    <row r="364" spans="1:16" ht="12.75">
      <c r="A364" s="65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</row>
    <row r="365" spans="1:16" ht="12.75">
      <c r="A365" s="65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</row>
    <row r="366" spans="1:16" ht="12.75">
      <c r="A366" s="65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</row>
    <row r="367" spans="1:16" ht="12.75">
      <c r="A367" s="65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</row>
    <row r="368" spans="1:16" ht="12.75">
      <c r="A368" s="65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</row>
    <row r="369" spans="1:16" ht="12.75">
      <c r="A369" s="65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</row>
    <row r="370" spans="1:16" ht="12.75">
      <c r="A370" s="65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</row>
    <row r="371" spans="1:16" ht="12.75">
      <c r="A371" s="65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</row>
    <row r="372" spans="1:16" ht="12.75">
      <c r="A372" s="65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</row>
    <row r="373" spans="1:16" ht="12.75">
      <c r="A373" s="65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</row>
    <row r="374" spans="1:16" ht="12.75">
      <c r="A374" s="65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</row>
    <row r="375" spans="1:16" ht="12.75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</row>
    <row r="376" spans="1:16" ht="12.75">
      <c r="A376" s="65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</row>
    <row r="377" spans="1:16" ht="12.75">
      <c r="A377" s="65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</row>
    <row r="378" spans="1:16" ht="12.75">
      <c r="A378" s="65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</row>
    <row r="379" spans="1:16" ht="12.75">
      <c r="A379" s="65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</row>
    <row r="380" spans="1:16" ht="12.75">
      <c r="A380" s="65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</row>
    <row r="381" spans="1:16" ht="12.75">
      <c r="A381" s="65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</row>
    <row r="382" spans="1:16" ht="12.75">
      <c r="A382" s="65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</row>
    <row r="383" spans="1:16" ht="12.75">
      <c r="A383" s="65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</row>
    <row r="384" spans="1:16" ht="12.75">
      <c r="A384" s="65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</row>
    <row r="385" spans="1:16" ht="12.75">
      <c r="A385" s="65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</row>
    <row r="386" spans="1:16" ht="12.75">
      <c r="A386" s="65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</row>
    <row r="387" spans="1:16" ht="12.75">
      <c r="A387" s="65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</row>
    <row r="388" spans="1:16" ht="12.75">
      <c r="A388" s="65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</row>
    <row r="389" spans="1:16" ht="12.75">
      <c r="A389" s="65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</row>
    <row r="390" spans="1:16" ht="12.75">
      <c r="A390" s="65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</row>
    <row r="391" spans="1:16" ht="12.75">
      <c r="A391" s="65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</row>
    <row r="392" spans="1:16" ht="12.75">
      <c r="A392" s="65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</row>
    <row r="393" spans="1:16" ht="12.75">
      <c r="A393" s="65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</row>
    <row r="394" spans="1:16" ht="12.75">
      <c r="A394" s="65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</row>
    <row r="395" spans="1:16" ht="12.75">
      <c r="A395" s="65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</row>
    <row r="396" spans="1:16" ht="12.75">
      <c r="A396" s="65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</row>
    <row r="397" spans="1:16" ht="12.75">
      <c r="A397" s="65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</row>
    <row r="398" spans="1:16" ht="12.75">
      <c r="A398" s="65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</row>
    <row r="399" spans="1:16" ht="12.75">
      <c r="A399" s="65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</row>
    <row r="400" spans="1:16" ht="12.75">
      <c r="A400" s="65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</row>
    <row r="401" spans="1:16" ht="12.75">
      <c r="A401" s="65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</row>
    <row r="402" spans="1:16" ht="12.75">
      <c r="A402" s="65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</row>
    <row r="403" spans="1:16" ht="12.75">
      <c r="A403" s="65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</row>
    <row r="404" spans="1:16" ht="12.75">
      <c r="A404" s="65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</row>
    <row r="405" spans="1:16" ht="12.75">
      <c r="A405" s="65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</row>
    <row r="406" spans="1:16" ht="12.75">
      <c r="A406" s="65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</row>
    <row r="407" spans="1:16" ht="12.75">
      <c r="A407" s="65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</row>
    <row r="408" spans="1:16" ht="12.75">
      <c r="A408" s="65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</row>
    <row r="409" spans="1:16" ht="12.75">
      <c r="A409" s="65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</row>
    <row r="410" spans="1:16" ht="12.75">
      <c r="A410" s="65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</row>
    <row r="411" spans="1:16" ht="12.75">
      <c r="A411" s="65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</row>
    <row r="412" spans="1:16" ht="12.75">
      <c r="A412" s="65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</row>
    <row r="413" spans="1:16" ht="12.75">
      <c r="A413" s="65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</row>
    <row r="414" spans="1:16" ht="12.75">
      <c r="A414" s="65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</row>
    <row r="415" spans="1:16" ht="12.75">
      <c r="A415" s="65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</row>
    <row r="416" spans="1:16" ht="12.75">
      <c r="A416" s="65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</row>
    <row r="417" spans="1:16" ht="12.75">
      <c r="A417" s="65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</row>
    <row r="418" spans="1:16" ht="12.75">
      <c r="A418" s="65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</row>
    <row r="419" spans="1:16" ht="12.75">
      <c r="A419" s="65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</row>
    <row r="420" spans="1:16" ht="12.75">
      <c r="A420" s="65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</row>
    <row r="421" spans="1:16" ht="12.75">
      <c r="A421" s="65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</row>
    <row r="422" spans="1:16" ht="12.75">
      <c r="A422" s="65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</row>
    <row r="423" spans="1:16" ht="12.75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</row>
    <row r="424" spans="1:16" ht="12.75">
      <c r="A424" s="65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</row>
    <row r="425" spans="1:16" ht="12.75">
      <c r="A425" s="65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</row>
    <row r="426" spans="1:16" ht="12.75">
      <c r="A426" s="65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</row>
    <row r="427" spans="1:16" ht="12.75">
      <c r="A427" s="65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</row>
    <row r="428" spans="1:16" ht="12.75">
      <c r="A428" s="65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</row>
    <row r="429" spans="1:16" ht="12.75">
      <c r="A429" s="65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</row>
    <row r="430" spans="1:16" ht="12.75">
      <c r="A430" s="65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</row>
    <row r="431" spans="1:16" ht="12.75">
      <c r="A431" s="65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</row>
    <row r="432" spans="1:16" ht="12.75">
      <c r="A432" s="65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</row>
    <row r="433" spans="1:16" ht="12.75">
      <c r="A433" s="65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</row>
    <row r="434" spans="1:16" ht="12.75">
      <c r="A434" s="65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</row>
    <row r="435" spans="1:16" ht="12.75">
      <c r="A435" s="65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</row>
    <row r="436" spans="1:16" ht="12.75">
      <c r="A436" s="65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</row>
    <row r="437" spans="1:16" ht="12.75">
      <c r="A437" s="65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</row>
    <row r="438" spans="1:16" ht="12.75">
      <c r="A438" s="65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</row>
    <row r="439" spans="1:16" ht="12.75">
      <c r="A439" s="65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</row>
    <row r="440" spans="1:16" ht="12.75">
      <c r="A440" s="65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</row>
    <row r="441" spans="1:16" ht="12.75">
      <c r="A441" s="65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</row>
    <row r="442" spans="1:16" ht="12.75">
      <c r="A442" s="65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</row>
    <row r="443" spans="1:16" ht="12.75">
      <c r="A443" s="65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</row>
    <row r="444" spans="1:16" ht="12.75">
      <c r="A444" s="65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</row>
    <row r="445" spans="1:16" ht="12.75">
      <c r="A445" s="65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</row>
    <row r="446" spans="1:16" ht="12.75">
      <c r="A446" s="65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</row>
    <row r="447" spans="1:16" ht="12.75">
      <c r="A447" s="65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</row>
    <row r="448" spans="1:16" ht="12.75">
      <c r="A448" s="65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</row>
    <row r="449" spans="1:16" ht="12.75">
      <c r="A449" s="65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</row>
    <row r="450" spans="1:16" ht="12.75">
      <c r="A450" s="65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</row>
    <row r="451" spans="1:16" ht="12.75">
      <c r="A451" s="65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</row>
    <row r="452" spans="1:16" ht="12.75">
      <c r="A452" s="65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</row>
    <row r="453" spans="1:16" ht="12.75">
      <c r="A453" s="65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</row>
    <row r="454" spans="1:16" ht="12.75">
      <c r="A454" s="65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</row>
    <row r="455" spans="1:16" ht="12.75">
      <c r="A455" s="65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</row>
    <row r="456" spans="1:16" ht="12.75">
      <c r="A456" s="65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</row>
    <row r="457" spans="1:16" ht="12.75">
      <c r="A457" s="65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</row>
    <row r="458" spans="1:16" ht="12.75">
      <c r="A458" s="65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</row>
    <row r="459" spans="1:16" ht="12.75">
      <c r="A459" s="65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</row>
    <row r="460" spans="1:16" ht="12.75">
      <c r="A460" s="65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</row>
    <row r="461" spans="1:16" ht="12.75">
      <c r="A461" s="65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</row>
    <row r="462" spans="1:16" ht="12.75">
      <c r="A462" s="65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</row>
    <row r="463" spans="1:16" ht="12.75">
      <c r="A463" s="65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</row>
    <row r="464" spans="1:16" ht="12.75">
      <c r="A464" s="65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</row>
    <row r="465" spans="1:16" ht="12.75">
      <c r="A465" s="65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</row>
    <row r="466" spans="1:16" ht="12.75">
      <c r="A466" s="65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</row>
    <row r="467" spans="1:16" ht="12.75">
      <c r="A467" s="65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</row>
    <row r="468" spans="1:16" ht="12.75">
      <c r="A468" s="65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</row>
    <row r="469" spans="1:16" ht="12.75">
      <c r="A469" s="65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</row>
    <row r="470" spans="1:16" ht="12.75">
      <c r="A470" s="65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</row>
    <row r="471" spans="1:16" ht="12.75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</row>
    <row r="472" spans="1:16" ht="12.75">
      <c r="A472" s="65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</row>
    <row r="473" spans="1:16" ht="12.75">
      <c r="A473" s="65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</row>
    <row r="474" spans="1:16" ht="12.75">
      <c r="A474" s="65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</row>
    <row r="475" spans="1:16" ht="12.75">
      <c r="A475" s="65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</row>
    <row r="476" spans="1:16" ht="12.75">
      <c r="A476" s="65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</row>
    <row r="477" spans="1:16" ht="12.75">
      <c r="A477" s="65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</row>
    <row r="478" spans="1:16" ht="12.75">
      <c r="A478" s="65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</row>
    <row r="479" spans="1:16" ht="12.75">
      <c r="A479" s="65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</row>
    <row r="480" spans="1:16" ht="12.75">
      <c r="A480" s="65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</row>
    <row r="481" spans="1:16" ht="12.75">
      <c r="A481" s="65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</row>
    <row r="482" spans="1:16" ht="12.75">
      <c r="A482" s="65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</row>
    <row r="483" spans="1:16" ht="12.75">
      <c r="A483" s="65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</row>
    <row r="484" spans="1:16" ht="12.75">
      <c r="A484" s="65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</row>
    <row r="485" spans="1:16" ht="12.75">
      <c r="A485" s="65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</row>
    <row r="486" spans="1:16" ht="12.75">
      <c r="A486" s="65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</row>
    <row r="487" spans="1:16" ht="12.75">
      <c r="A487" s="65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</row>
    <row r="488" spans="1:16" ht="12.75">
      <c r="A488" s="65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</row>
    <row r="489" spans="1:16" ht="12.75">
      <c r="A489" s="65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</row>
    <row r="490" spans="1:16" ht="12.75">
      <c r="A490" s="65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</row>
    <row r="491" spans="1:16" ht="12.75">
      <c r="A491" s="65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</row>
    <row r="492" spans="1:16" ht="12.75">
      <c r="A492" s="65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</row>
    <row r="493" spans="1:16" ht="12.75">
      <c r="A493" s="65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</row>
    <row r="494" spans="1:16" ht="12.75">
      <c r="A494" s="65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</row>
    <row r="495" spans="1:16" ht="12.75">
      <c r="A495" s="65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</row>
    <row r="496" spans="1:16" ht="12.75">
      <c r="A496" s="65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</row>
    <row r="497" spans="1:16" ht="12.75">
      <c r="A497" s="65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</row>
    <row r="498" spans="1:16" ht="12.75">
      <c r="A498" s="65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</row>
    <row r="499" spans="1:16" ht="12.75">
      <c r="A499" s="65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</row>
    <row r="500" spans="1:16" ht="12.75">
      <c r="A500" s="65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</row>
    <row r="501" spans="1:16" ht="12.75">
      <c r="A501" s="65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</row>
    <row r="502" spans="1:16" ht="12.75">
      <c r="A502" s="65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</row>
    <row r="503" spans="1:16" ht="12.75">
      <c r="A503" s="65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</row>
    <row r="504" spans="1:16" ht="12.75">
      <c r="A504" s="65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</row>
    <row r="505" spans="1:16" ht="12.75">
      <c r="A505" s="65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</row>
    <row r="506" spans="1:16" ht="12.75">
      <c r="A506" s="65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</row>
    <row r="507" spans="1:16" ht="12.75">
      <c r="A507" s="65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</row>
    <row r="508" spans="1:16" ht="12.75">
      <c r="A508" s="65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</row>
    <row r="509" spans="1:16" ht="12.75">
      <c r="A509" s="65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</row>
    <row r="510" spans="1:16" ht="12.75">
      <c r="A510" s="65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</row>
    <row r="511" spans="1:16" ht="12.75">
      <c r="A511" s="65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</row>
    <row r="512" spans="1:16" ht="12.75">
      <c r="A512" s="65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</row>
    <row r="513" spans="1:16" ht="12.75">
      <c r="A513" s="65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</row>
    <row r="514" spans="1:16" ht="12.75">
      <c r="A514" s="65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ht="12.75">
      <c r="A515" s="65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ht="12.75">
      <c r="A516" s="65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ht="12.75">
      <c r="A517" s="65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ht="12.75">
      <c r="A518" s="65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ht="12.75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  <row r="520" spans="1:16" ht="12.75">
      <c r="A520" s="65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</row>
    <row r="521" spans="1:16" ht="12.75">
      <c r="A521" s="65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</row>
    <row r="522" spans="1:16" ht="12.75">
      <c r="A522" s="65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</row>
    <row r="523" spans="1:16" ht="12.75">
      <c r="A523" s="65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</row>
    <row r="524" spans="1:16" ht="12.75">
      <c r="A524" s="65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</row>
    <row r="525" spans="1:16" ht="12.75">
      <c r="A525" s="65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</row>
    <row r="526" spans="1:16" ht="12.75">
      <c r="A526" s="65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</row>
    <row r="527" spans="1:16" ht="12.75">
      <c r="A527" s="65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</row>
    <row r="528" spans="1:16" ht="12.75">
      <c r="A528" s="65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</row>
    <row r="529" spans="1:16" ht="12.75">
      <c r="A529" s="65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</row>
    <row r="530" spans="1:16" ht="12.75">
      <c r="A530" s="65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</row>
    <row r="531" spans="1:16" ht="12.75">
      <c r="A531" s="65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</row>
    <row r="532" spans="1:16" ht="12.75">
      <c r="A532" s="65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</row>
    <row r="533" spans="1:16" ht="12.75">
      <c r="A533" s="65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</row>
    <row r="534" spans="1:16" ht="12.75">
      <c r="A534" s="65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</row>
    <row r="535" spans="1:16" ht="12.75">
      <c r="A535" s="65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</row>
    <row r="536" spans="1:16" ht="12.75">
      <c r="A536" s="65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</row>
    <row r="537" spans="1:16" ht="12.75">
      <c r="A537" s="65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</row>
    <row r="538" spans="1:16" ht="12.75">
      <c r="A538" s="65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</row>
    <row r="539" spans="1:16" ht="12.75">
      <c r="A539" s="65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</row>
    <row r="540" spans="1:16" ht="12.75">
      <c r="A540" s="65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</row>
    <row r="541" spans="1:16" ht="12.75">
      <c r="A541" s="65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</row>
    <row r="542" spans="1:16" ht="12.75">
      <c r="A542" s="65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</row>
    <row r="543" spans="1:16" ht="12.75">
      <c r="A543" s="65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</row>
    <row r="544" spans="1:16" ht="12.75">
      <c r="A544" s="65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</row>
    <row r="545" spans="1:16" ht="12.75">
      <c r="A545" s="65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</row>
    <row r="546" spans="1:16" ht="12.75">
      <c r="A546" s="65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</row>
    <row r="547" spans="1:16" ht="12.75">
      <c r="A547" s="65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</row>
    <row r="548" spans="1:16" ht="12.75">
      <c r="A548" s="65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</row>
    <row r="549" spans="1:16" ht="12.75">
      <c r="A549" s="65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</row>
    <row r="550" spans="1:16" ht="12.75">
      <c r="A550" s="65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</row>
    <row r="551" spans="1:16" ht="12.75">
      <c r="A551" s="65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</row>
    <row r="552" spans="1:16" ht="12.75">
      <c r="A552" s="65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</row>
    <row r="553" spans="1:16" ht="12.75">
      <c r="A553" s="65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</row>
    <row r="554" spans="1:16" ht="12.75">
      <c r="A554" s="65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</row>
    <row r="555" spans="1:16" ht="12.75">
      <c r="A555" s="65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</row>
    <row r="556" spans="1:16" ht="12.75">
      <c r="A556" s="65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</row>
    <row r="557" spans="1:16" ht="12.75">
      <c r="A557" s="65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</row>
    <row r="558" spans="1:16" ht="12.75">
      <c r="A558" s="65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</row>
    <row r="559" spans="1:16" ht="12.75">
      <c r="A559" s="65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</row>
    <row r="560" spans="1:16" ht="12.75">
      <c r="A560" s="65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</row>
    <row r="561" spans="1:16" ht="12.75">
      <c r="A561" s="65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</row>
    <row r="562" spans="1:16" ht="12.75">
      <c r="A562" s="65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</row>
    <row r="563" spans="1:16" ht="12.75">
      <c r="A563" s="65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</row>
    <row r="564" spans="1:16" ht="12.75">
      <c r="A564" s="65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</row>
    <row r="565" spans="1:16" ht="12.75">
      <c r="A565" s="65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</row>
    <row r="566" spans="1:16" ht="12.75">
      <c r="A566" s="65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</row>
    <row r="567" spans="1:16" ht="12.75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</row>
    <row r="568" spans="1:16" ht="12.75">
      <c r="A568" s="65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</row>
    <row r="569" spans="1:16" ht="12.75">
      <c r="A569" s="65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</row>
    <row r="570" spans="1:16" ht="12.75">
      <c r="A570" s="65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</row>
    <row r="571" spans="1:16" ht="12.75">
      <c r="A571" s="65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</row>
    <row r="572" spans="1:16" ht="12.75">
      <c r="A572" s="65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</row>
    <row r="573" spans="1:16" ht="12.75">
      <c r="A573" s="65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</row>
    <row r="574" spans="1:16" ht="12.75">
      <c r="A574" s="65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</row>
    <row r="575" spans="1:16" ht="12.75">
      <c r="A575" s="65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</row>
    <row r="576" spans="1:16" ht="12.75">
      <c r="A576" s="65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</row>
    <row r="577" spans="1:16" ht="12.75">
      <c r="A577" s="65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</row>
    <row r="578" spans="1:16" ht="12.75">
      <c r="A578" s="65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</row>
    <row r="579" spans="1:16" ht="12.75">
      <c r="A579" s="65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</row>
    <row r="580" spans="1:16" ht="12.75">
      <c r="A580" s="65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</row>
    <row r="581" spans="1:16" ht="12.75">
      <c r="A581" s="65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</row>
    <row r="582" spans="1:16" ht="12.75">
      <c r="A582" s="65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</row>
    <row r="583" spans="1:16" ht="12.75">
      <c r="A583" s="65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</row>
    <row r="584" spans="1:16" ht="12.75">
      <c r="A584" s="65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</row>
    <row r="585" spans="1:16" ht="12.75">
      <c r="A585" s="65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</row>
    <row r="586" spans="1:16" ht="12.75">
      <c r="A586" s="65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</row>
    <row r="587" spans="1:16" ht="12.75">
      <c r="A587" s="65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</row>
    <row r="588" spans="1:16" ht="12.75">
      <c r="A588" s="65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</row>
    <row r="589" spans="1:16" ht="12.75">
      <c r="A589" s="65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</row>
    <row r="590" spans="1:16" ht="12.75">
      <c r="A590" s="65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</row>
    <row r="591" spans="1:16" ht="12.75">
      <c r="A591" s="65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</row>
    <row r="592" spans="1:16" ht="12.75">
      <c r="A592" s="65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</row>
    <row r="593" spans="1:16" ht="12.75">
      <c r="A593" s="65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</row>
    <row r="594" spans="1:16" ht="12.75">
      <c r="A594" s="65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</row>
    <row r="595" spans="1:16" ht="12.75">
      <c r="A595" s="65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</row>
    <row r="596" spans="1:16" ht="12.75">
      <c r="A596" s="65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</row>
    <row r="597" spans="1:16" ht="12.75">
      <c r="A597" s="65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</row>
    <row r="598" spans="1:16" ht="12.75">
      <c r="A598" s="65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</row>
    <row r="599" spans="1:16" ht="12.75">
      <c r="A599" s="65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</row>
    <row r="600" spans="1:16" ht="12.75">
      <c r="A600" s="65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</row>
    <row r="601" spans="1:16" ht="12.75">
      <c r="A601" s="65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</row>
    <row r="602" spans="1:16" ht="12.75">
      <c r="A602" s="65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</row>
    <row r="603" spans="1:16" ht="12.75">
      <c r="A603" s="65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</row>
    <row r="604" spans="1:16" ht="12.75">
      <c r="A604" s="65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</row>
    <row r="605" spans="1:16" ht="12.75">
      <c r="A605" s="65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</row>
    <row r="606" spans="1:16" ht="12.75">
      <c r="A606" s="65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</row>
    <row r="607" spans="1:16" ht="12.75">
      <c r="A607" s="65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</row>
    <row r="608" spans="1:16" ht="12.75">
      <c r="A608" s="65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</row>
    <row r="609" spans="1:16" ht="12.75">
      <c r="A609" s="65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</row>
    <row r="610" spans="1:16" ht="12.75">
      <c r="A610" s="65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</row>
    <row r="611" spans="1:16" ht="12.75">
      <c r="A611" s="65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</row>
    <row r="612" spans="1:16" ht="12.75">
      <c r="A612" s="65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</row>
    <row r="613" spans="1:16" ht="12.75">
      <c r="A613" s="65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</row>
    <row r="614" spans="1:16" ht="12.75">
      <c r="A614" s="65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</row>
    <row r="615" spans="1:16" ht="12.75">
      <c r="A615" s="65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</row>
    <row r="616" spans="1:16" ht="12.75">
      <c r="A616" s="65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</row>
    <row r="617" spans="1:16" ht="12.75">
      <c r="A617" s="65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</row>
    <row r="618" spans="1:16" ht="12.75">
      <c r="A618" s="65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</row>
    <row r="619" spans="1:16" ht="12.75">
      <c r="A619" s="65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</row>
    <row r="620" spans="1:16" ht="12.75">
      <c r="A620" s="65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</row>
    <row r="621" spans="1:16" ht="12.75">
      <c r="A621" s="65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</row>
    <row r="622" spans="1:16" ht="12.75">
      <c r="A622" s="65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</row>
    <row r="623" spans="1:16" ht="12.75">
      <c r="A623" s="65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</row>
    <row r="624" spans="1:16" ht="12.75">
      <c r="A624" s="65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</row>
    <row r="625" spans="1:16" ht="12.75">
      <c r="A625" s="65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</row>
    <row r="626" spans="1:16" ht="12.75">
      <c r="A626" s="65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</row>
    <row r="627" spans="1:16" ht="12.75">
      <c r="A627" s="65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</row>
    <row r="628" spans="1:16" ht="12.75">
      <c r="A628" s="65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</row>
    <row r="629" spans="1:16" ht="12.75">
      <c r="A629" s="65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</row>
    <row r="630" spans="1:16" ht="12.75">
      <c r="A630" s="65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</row>
    <row r="631" spans="1:16" ht="12.75">
      <c r="A631" s="65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</row>
    <row r="632" spans="1:16" ht="12.75">
      <c r="A632" s="65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</row>
    <row r="633" spans="1:16" ht="12.75">
      <c r="A633" s="65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</row>
    <row r="634" spans="1:16" ht="12.75">
      <c r="A634" s="65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</row>
    <row r="635" spans="1:16" ht="12.75">
      <c r="A635" s="65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</row>
    <row r="636" spans="1:16" ht="12.75">
      <c r="A636" s="65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</row>
    <row r="637" spans="1:16" ht="12.75">
      <c r="A637" s="65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</row>
    <row r="638" spans="1:16" ht="12.75">
      <c r="A638" s="65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</row>
    <row r="639" spans="1:16" ht="12.75">
      <c r="A639" s="65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</row>
    <row r="640" spans="1:16" ht="12.75">
      <c r="A640" s="65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</row>
    <row r="641" spans="1:16" ht="12.75">
      <c r="A641" s="65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</row>
    <row r="642" spans="1:16" ht="12.75">
      <c r="A642" s="65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</row>
    <row r="643" spans="1:16" ht="12.75">
      <c r="A643" s="65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</row>
    <row r="644" spans="1:16" ht="12.75">
      <c r="A644" s="65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</row>
    <row r="645" spans="1:16" ht="12.75">
      <c r="A645" s="65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</row>
    <row r="646" spans="1:16" ht="12.75">
      <c r="A646" s="65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</row>
    <row r="647" spans="1:16" ht="12.75">
      <c r="A647" s="65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</row>
    <row r="648" spans="1:16" ht="12.75">
      <c r="A648" s="65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</row>
    <row r="649" spans="1:16" ht="12.75">
      <c r="A649" s="65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</row>
    <row r="650" spans="1:16" ht="12.75">
      <c r="A650" s="65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</row>
    <row r="651" spans="1:16" ht="12.75">
      <c r="A651" s="65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</row>
    <row r="652" spans="1:16" ht="12.75">
      <c r="A652" s="65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</row>
    <row r="653" spans="1:16" ht="12.75">
      <c r="A653" s="65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</row>
    <row r="654" spans="1:16" ht="12.75">
      <c r="A654" s="65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</row>
    <row r="655" spans="1:16" ht="12.75">
      <c r="A655" s="65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</row>
    <row r="656" spans="1:16" ht="12.75">
      <c r="A656" s="65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</row>
    <row r="657" spans="1:16" ht="12.75">
      <c r="A657" s="65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</row>
    <row r="658" spans="1:16" ht="12.75">
      <c r="A658" s="65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</row>
    <row r="659" spans="1:16" ht="12.75">
      <c r="A659" s="65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</row>
    <row r="660" spans="1:16" ht="12.75">
      <c r="A660" s="65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</row>
    <row r="661" spans="1:16" ht="12.75">
      <c r="A661" s="65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</row>
    <row r="662" spans="1:16" ht="12.75">
      <c r="A662" s="65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</row>
    <row r="663" spans="1:16" ht="12.75">
      <c r="A663" s="65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</row>
    <row r="664" spans="1:16" ht="12.75">
      <c r="A664" s="65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</row>
    <row r="665" spans="1:16" ht="12.75">
      <c r="A665" s="65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</row>
    <row r="666" spans="1:16" ht="12.75">
      <c r="A666" s="65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</row>
    <row r="667" spans="1:16" ht="12.75">
      <c r="A667" s="65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</row>
    <row r="668" spans="1:16" ht="12.75">
      <c r="A668" s="65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</row>
    <row r="669" spans="1:16" ht="12.75">
      <c r="A669" s="65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</row>
    <row r="670" spans="1:16" ht="12.75">
      <c r="A670" s="65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</row>
    <row r="671" spans="1:16" ht="12.75">
      <c r="A671" s="65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</row>
    <row r="672" spans="1:16" ht="12.75">
      <c r="A672" s="65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</row>
    <row r="673" spans="1:16" ht="12.75">
      <c r="A673" s="65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</row>
    <row r="674" spans="1:16" ht="12.75">
      <c r="A674" s="65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</row>
    <row r="675" spans="1:16" ht="12.75">
      <c r="A675" s="65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</row>
    <row r="676" spans="1:16" ht="12.75">
      <c r="A676" s="65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</row>
    <row r="677" spans="1:16" ht="12.75">
      <c r="A677" s="65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</row>
    <row r="678" spans="1:16" ht="12.75">
      <c r="A678" s="65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</row>
    <row r="679" spans="1:16" ht="12.75">
      <c r="A679" s="65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</row>
    <row r="680" spans="1:16" ht="12.75">
      <c r="A680" s="65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</row>
    <row r="681" spans="1:16" ht="12.75">
      <c r="A681" s="65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</row>
    <row r="682" spans="1:16" ht="12.75">
      <c r="A682" s="65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</row>
    <row r="683" spans="1:16" ht="12.75">
      <c r="A683" s="65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</row>
    <row r="684" spans="1:16" ht="12.75">
      <c r="A684" s="65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</row>
    <row r="685" spans="1:16" ht="12.75">
      <c r="A685" s="65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</row>
    <row r="686" spans="1:16" ht="12.75">
      <c r="A686" s="65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</row>
    <row r="687" spans="1:16" ht="12.75">
      <c r="A687" s="65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</row>
    <row r="688" spans="1:16" ht="12.75">
      <c r="A688" s="65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</row>
    <row r="689" spans="1:16" ht="12.75">
      <c r="A689" s="65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</row>
    <row r="690" spans="1:16" ht="12.75">
      <c r="A690" s="65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</row>
    <row r="691" spans="1:16" ht="12.75">
      <c r="A691" s="65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</row>
    <row r="692" spans="1:16" ht="12.75">
      <c r="A692" s="65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</row>
    <row r="693" spans="1:16" ht="12.75">
      <c r="A693" s="65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</row>
    <row r="694" spans="1:16" ht="12.75">
      <c r="A694" s="65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</row>
    <row r="695" spans="1:16" ht="12.75">
      <c r="A695" s="65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</row>
    <row r="696" spans="1:16" ht="12.75">
      <c r="A696" s="65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</row>
    <row r="697" spans="1:16" ht="12.75">
      <c r="A697" s="65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</row>
    <row r="698" spans="1:16" ht="12.75">
      <c r="A698" s="65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</row>
    <row r="699" spans="1:16" ht="12.75">
      <c r="A699" s="65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</row>
    <row r="700" spans="1:16" ht="12.75">
      <c r="A700" s="65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</row>
    <row r="701" spans="1:16" ht="12.75">
      <c r="A701" s="65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</row>
    <row r="702" spans="1:16" ht="12.75">
      <c r="A702" s="65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</row>
    <row r="703" spans="1:16" ht="12.75">
      <c r="A703" s="65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</row>
    <row r="704" spans="1:16" ht="12.75">
      <c r="A704" s="65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</row>
    <row r="705" spans="1:16" ht="12.75">
      <c r="A705" s="65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</row>
    <row r="706" spans="1:16" ht="12.75">
      <c r="A706" s="65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</row>
    <row r="707" spans="1:16" ht="12.75">
      <c r="A707" s="65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</row>
    <row r="708" spans="1:16" ht="12.75">
      <c r="A708" s="65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</row>
    <row r="709" spans="1:16" ht="12.75">
      <c r="A709" s="65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</row>
    <row r="710" spans="1:16" ht="12.75">
      <c r="A710" s="65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</row>
    <row r="711" spans="1:16" ht="12.75">
      <c r="A711" s="65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</row>
    <row r="712" spans="1:16" ht="12.75">
      <c r="A712" s="65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</row>
    <row r="713" spans="1:16" ht="12.75">
      <c r="A713" s="65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</row>
    <row r="714" spans="1:16" ht="12.75">
      <c r="A714" s="65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</row>
    <row r="715" spans="1:16" ht="12.75">
      <c r="A715" s="65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</row>
    <row r="716" spans="1:16" ht="12.75">
      <c r="A716" s="65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</row>
    <row r="717" spans="1:16" ht="12.75">
      <c r="A717" s="65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</row>
    <row r="718" spans="1:16" ht="12.75">
      <c r="A718" s="65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</row>
    <row r="719" spans="1:16" ht="12.75">
      <c r="A719" s="65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</row>
    <row r="720" spans="1:16" ht="12.75">
      <c r="A720" s="65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</row>
    <row r="721" spans="1:16" ht="12.75">
      <c r="A721" s="65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</row>
    <row r="722" spans="1:16" ht="12.75">
      <c r="A722" s="65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</row>
    <row r="723" spans="1:16" ht="12.75">
      <c r="A723" s="65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</row>
    <row r="724" spans="1:16" ht="12.75">
      <c r="A724" s="65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</row>
    <row r="725" spans="1:16" ht="12.75">
      <c r="A725" s="65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</row>
    <row r="726" spans="1:16" ht="12.75">
      <c r="A726" s="65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</row>
    <row r="727" spans="1:16" ht="12.75">
      <c r="A727" s="65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</row>
    <row r="728" spans="1:16" ht="12.75">
      <c r="A728" s="65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</row>
    <row r="729" spans="1:16" ht="12.75">
      <c r="A729" s="65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</row>
    <row r="730" spans="1:16" ht="12.75">
      <c r="A730" s="65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</row>
    <row r="731" spans="1:16" ht="12.75">
      <c r="A731" s="65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</row>
    <row r="732" spans="1:16" ht="12.75">
      <c r="A732" s="65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</row>
    <row r="733" spans="1:16" ht="12.75">
      <c r="A733" s="65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</row>
    <row r="734" spans="1:16" ht="12.75">
      <c r="A734" s="65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</row>
    <row r="735" spans="1:16" ht="12.75">
      <c r="A735" s="65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</row>
    <row r="736" spans="1:16" ht="12.75">
      <c r="A736" s="65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</row>
    <row r="737" spans="1:16" ht="12.75">
      <c r="A737" s="65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</row>
    <row r="738" spans="1:16" ht="12.75">
      <c r="A738" s="65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</row>
    <row r="739" spans="1:16" ht="12.75">
      <c r="A739" s="65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</row>
    <row r="740" spans="1:16" ht="12.75">
      <c r="A740" s="65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</row>
    <row r="741" spans="1:16" ht="12.75">
      <c r="A741" s="65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</row>
    <row r="742" spans="1:16" ht="12.75">
      <c r="A742" s="65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</row>
    <row r="743" spans="1:16" ht="12.75">
      <c r="A743" s="65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</row>
    <row r="744" spans="1:16" ht="12.75">
      <c r="A744" s="65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</row>
    <row r="745" spans="1:16" ht="12.75">
      <c r="A745" s="65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</row>
    <row r="746" spans="1:16" ht="12.75">
      <c r="A746" s="65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</row>
    <row r="747" spans="1:16" ht="12.75">
      <c r="A747" s="65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</row>
    <row r="748" spans="1:16" ht="12.75">
      <c r="A748" s="65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</row>
    <row r="749" spans="1:16" ht="12.75">
      <c r="A749" s="65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</row>
    <row r="750" spans="1:16" ht="12.75">
      <c r="A750" s="65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</row>
    <row r="751" spans="1:16" ht="12.75">
      <c r="A751" s="65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</row>
    <row r="752" spans="1:16" ht="12.75">
      <c r="A752" s="65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</row>
    <row r="753" spans="1:16" ht="12.75">
      <c r="A753" s="65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</row>
    <row r="754" spans="1:16" ht="12.75">
      <c r="A754" s="65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</row>
    <row r="755" spans="1:16" ht="12.75">
      <c r="A755" s="65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</row>
    <row r="756" spans="1:16" ht="12.75">
      <c r="A756" s="65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</row>
    <row r="757" spans="1:16" ht="12.75">
      <c r="A757" s="65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</row>
    <row r="758" spans="1:16" ht="12.75">
      <c r="A758" s="65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</row>
    <row r="759" spans="1:16" ht="12.75">
      <c r="A759" s="65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</row>
    <row r="760" spans="1:16" ht="12.75">
      <c r="A760" s="65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</row>
    <row r="761" spans="1:16" ht="12.75">
      <c r="A761" s="65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</row>
    <row r="762" spans="1:16" ht="12.75">
      <c r="A762" s="65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</row>
    <row r="763" spans="1:16" ht="12.75">
      <c r="A763" s="65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</row>
    <row r="764" spans="1:16" ht="12.75">
      <c r="A764" s="65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</row>
    <row r="765" spans="1:16" ht="12.75">
      <c r="A765" s="65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</row>
    <row r="766" spans="1:16" ht="12.75">
      <c r="A766" s="65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</row>
    <row r="767" spans="1:16" ht="12.75">
      <c r="A767" s="65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</row>
    <row r="768" spans="1:16" ht="12.75">
      <c r="A768" s="65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</row>
    <row r="769" spans="1:16" ht="12.75">
      <c r="A769" s="65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</row>
    <row r="770" spans="1:16" ht="12.75">
      <c r="A770" s="65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</row>
    <row r="771" spans="1:16" ht="12.75">
      <c r="A771" s="65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</row>
    <row r="772" spans="1:16" ht="12.75">
      <c r="A772" s="65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</row>
    <row r="773" spans="1:16" ht="12.75">
      <c r="A773" s="65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</row>
    <row r="774" spans="1:16" ht="12.75">
      <c r="A774" s="65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</row>
    <row r="775" spans="1:16" ht="12.75">
      <c r="A775" s="65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</row>
    <row r="776" spans="1:16" ht="12.75">
      <c r="A776" s="65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</row>
    <row r="777" spans="1:16" ht="12.75">
      <c r="A777" s="65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</row>
    <row r="778" spans="1:16" ht="12.75">
      <c r="A778" s="65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</row>
    <row r="779" spans="1:16" ht="12.75">
      <c r="A779" s="65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</row>
    <row r="780" spans="1:16" ht="12.75">
      <c r="A780" s="65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</row>
    <row r="781" spans="1:16" ht="12.75">
      <c r="A781" s="65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</row>
    <row r="782" spans="1:16" ht="12.75">
      <c r="A782" s="65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</row>
    <row r="783" spans="1:16" ht="12.75">
      <c r="A783" s="65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</row>
    <row r="784" spans="1:16" ht="12.75">
      <c r="A784" s="65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</row>
    <row r="785" spans="1:16" ht="12.75">
      <c r="A785" s="65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</row>
    <row r="786" spans="1:16" ht="12.75">
      <c r="A786" s="65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</row>
    <row r="787" spans="1:16" ht="12.75">
      <c r="A787" s="65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</row>
    <row r="788" spans="1:16" ht="12.75">
      <c r="A788" s="65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</row>
    <row r="789" spans="1:16" ht="12.75">
      <c r="A789" s="65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</row>
    <row r="790" spans="1:16" ht="12.75">
      <c r="A790" s="65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</row>
    <row r="791" spans="1:16" ht="12.75">
      <c r="A791" s="65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</row>
    <row r="792" spans="1:16" ht="12.75">
      <c r="A792" s="65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</row>
    <row r="793" spans="1:16" ht="12.75">
      <c r="A793" s="65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</row>
    <row r="794" spans="1:16" ht="12.75">
      <c r="A794" s="65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</row>
    <row r="795" spans="1:16" ht="12.75">
      <c r="A795" s="65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</row>
    <row r="796" spans="1:16" ht="12.75">
      <c r="A796" s="65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</row>
    <row r="797" spans="1:16" ht="12.75">
      <c r="A797" s="65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</row>
    <row r="798" spans="1:16" ht="12.75">
      <c r="A798" s="65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</row>
    <row r="799" spans="1:16" ht="12.75">
      <c r="A799" s="65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</row>
    <row r="800" spans="1:16" ht="12.75">
      <c r="A800" s="65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</row>
    <row r="801" spans="1:16" ht="12.75">
      <c r="A801" s="65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</row>
    <row r="802" spans="1:16" ht="12.75">
      <c r="A802" s="65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</row>
    <row r="803" spans="1:16" ht="12.75">
      <c r="A803" s="65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</row>
    <row r="804" spans="1:16" ht="12.75">
      <c r="A804" s="65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</row>
    <row r="805" spans="1:16" ht="12.75">
      <c r="A805" s="65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</row>
    <row r="806" spans="1:16" ht="12.75">
      <c r="A806" s="65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</row>
    <row r="807" spans="1:16" ht="12.75">
      <c r="A807" s="65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</row>
    <row r="808" spans="1:16" ht="12.75">
      <c r="A808" s="65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</row>
    <row r="809" spans="1:16" ht="12.75">
      <c r="A809" s="65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</row>
    <row r="810" spans="1:16" ht="12.75">
      <c r="A810" s="65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</row>
    <row r="811" spans="1:16" ht="12.75">
      <c r="A811" s="65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</row>
    <row r="812" spans="1:16" ht="12.75">
      <c r="A812" s="65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</row>
    <row r="813" spans="1:16" ht="12.75">
      <c r="A813" s="65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</row>
    <row r="814" spans="1:16" ht="12.75">
      <c r="A814" s="65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</row>
    <row r="815" spans="1:16" ht="12.75">
      <c r="A815" s="65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</row>
    <row r="816" spans="1:16" ht="12.75">
      <c r="A816" s="65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</row>
    <row r="817" spans="1:16" ht="12.75">
      <c r="A817" s="65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</row>
    <row r="818" spans="1:16" ht="12.75">
      <c r="A818" s="65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</row>
    <row r="819" spans="1:16" ht="12.75">
      <c r="A819" s="65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</row>
    <row r="820" spans="1:16" ht="12.75">
      <c r="A820" s="65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</row>
    <row r="821" spans="1:16" ht="12.75">
      <c r="A821" s="65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</row>
    <row r="822" spans="1:16" ht="12.75">
      <c r="A822" s="65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</row>
    <row r="823" spans="1:16" ht="12.75">
      <c r="A823" s="65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</row>
    <row r="824" spans="1:16" ht="12.75">
      <c r="A824" s="65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</row>
    <row r="825" spans="1:16" ht="12.75">
      <c r="A825" s="65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</row>
    <row r="826" spans="1:16" ht="12.75">
      <c r="A826" s="65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</row>
    <row r="827" spans="1:16" ht="12.75">
      <c r="A827" s="65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</row>
    <row r="828" spans="1:16" ht="12.75">
      <c r="A828" s="65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</row>
    <row r="829" spans="1:16" ht="12.75">
      <c r="A829" s="65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</row>
    <row r="830" spans="1:16" ht="12.75">
      <c r="A830" s="65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</row>
    <row r="831" spans="1:16" ht="12.75">
      <c r="A831" s="65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</row>
    <row r="832" spans="1:16" ht="12.75">
      <c r="A832" s="65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</row>
    <row r="833" spans="1:16" ht="12.75">
      <c r="A833" s="65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</row>
    <row r="834" spans="1:16" ht="12.75">
      <c r="A834" s="65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</row>
    <row r="835" spans="1:16" ht="12.75">
      <c r="A835" s="65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</row>
    <row r="836" spans="1:16" ht="12.75">
      <c r="A836" s="65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</row>
    <row r="837" spans="1:16" ht="12.75">
      <c r="A837" s="65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</row>
    <row r="838" spans="1:16" ht="12.75">
      <c r="A838" s="65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</row>
    <row r="839" spans="1:16" ht="12.75">
      <c r="A839" s="65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</row>
    <row r="840" spans="1:16" ht="12.75">
      <c r="A840" s="65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</row>
    <row r="841" spans="1:16" ht="12.75">
      <c r="A841" s="65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</row>
    <row r="842" spans="1:16" ht="12.75">
      <c r="A842" s="65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</row>
    <row r="843" spans="1:16" ht="12.75">
      <c r="A843" s="65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</row>
    <row r="844" spans="1:16" ht="12.75">
      <c r="A844" s="65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</row>
    <row r="845" spans="1:16" ht="12.75">
      <c r="A845" s="65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</row>
    <row r="846" spans="1:16" ht="12.75">
      <c r="A846" s="65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</row>
    <row r="847" spans="1:16" ht="12.75">
      <c r="A847" s="65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</row>
    <row r="848" spans="1:16" ht="12.75">
      <c r="A848" s="65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</row>
    <row r="849" spans="1:16" ht="12.75">
      <c r="A849" s="65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</row>
    <row r="850" spans="1:16" ht="12.75">
      <c r="A850" s="65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</row>
    <row r="851" spans="1:16" ht="12.75">
      <c r="A851" s="65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</row>
    <row r="852" spans="1:16" ht="12.75">
      <c r="A852" s="65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</row>
    <row r="853" spans="1:16" ht="12.75">
      <c r="A853" s="65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</row>
    <row r="854" spans="1:16" ht="12.75">
      <c r="A854" s="65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</row>
    <row r="855" spans="1:16" ht="12.75">
      <c r="A855" s="65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</row>
    <row r="856" spans="1:16" ht="12.75">
      <c r="A856" s="65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</row>
    <row r="857" spans="1:16" ht="12.75">
      <c r="A857" s="65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</row>
    <row r="858" spans="1:16" ht="12.75">
      <c r="A858" s="65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</row>
    <row r="859" spans="1:16" ht="12.75">
      <c r="A859" s="65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</row>
    <row r="860" spans="1:16" ht="12.75">
      <c r="A860" s="65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</row>
    <row r="861" spans="1:16" ht="12.75">
      <c r="A861" s="65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</row>
    <row r="862" spans="1:16" ht="12.75">
      <c r="A862" s="65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</row>
    <row r="863" spans="1:16" ht="12.75">
      <c r="A863" s="65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</row>
    <row r="864" spans="1:16" ht="12.75">
      <c r="A864" s="65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</row>
    <row r="865" spans="1:16" ht="12.75">
      <c r="A865" s="65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</row>
    <row r="866" spans="1:16" ht="12.75">
      <c r="A866" s="65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</row>
    <row r="867" spans="1:16" ht="12.75">
      <c r="A867" s="65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</row>
    <row r="868" spans="1:16" ht="12.75">
      <c r="A868" s="65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</row>
    <row r="869" spans="1:16" ht="12.75">
      <c r="A869" s="65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</row>
    <row r="870" spans="1:16" ht="12.75">
      <c r="A870" s="65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</row>
    <row r="871" spans="1:16" ht="12.75">
      <c r="A871" s="65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</row>
    <row r="872" spans="1:16" ht="12.75">
      <c r="A872" s="65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</row>
    <row r="873" spans="1:16" ht="12.75">
      <c r="A873" s="65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</row>
    <row r="874" spans="1:16" ht="12.75">
      <c r="A874" s="65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</row>
    <row r="875" spans="1:16" ht="12.75">
      <c r="A875" s="65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</row>
    <row r="876" spans="1:16" ht="12.75">
      <c r="A876" s="65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</row>
    <row r="877" spans="1:16" ht="12.75">
      <c r="A877" s="65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</row>
    <row r="878" spans="1:16" ht="12.75">
      <c r="A878" s="65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</row>
    <row r="879" spans="1:16" ht="12.75">
      <c r="A879" s="65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</row>
    <row r="880" spans="1:16" ht="12.75">
      <c r="A880" s="65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</row>
    <row r="881" spans="1:16" ht="12.75">
      <c r="A881" s="65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</row>
    <row r="882" spans="1:16" ht="12.75">
      <c r="A882" s="65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</row>
    <row r="883" spans="1:16" ht="12.75">
      <c r="A883" s="65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</row>
    <row r="884" spans="1:16" ht="12.75">
      <c r="A884" s="65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</row>
    <row r="885" spans="1:16" ht="12.75">
      <c r="A885" s="65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</row>
    <row r="886" spans="1:16" ht="12.75">
      <c r="A886" s="65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</row>
    <row r="887" spans="1:16" ht="12.75">
      <c r="A887" s="65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</row>
    <row r="888" spans="1:16" ht="12.75">
      <c r="A888" s="65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</row>
    <row r="889" spans="1:16" ht="12.75">
      <c r="A889" s="65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</row>
    <row r="890" spans="1:16" ht="12.75">
      <c r="A890" s="65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</row>
    <row r="891" spans="1:16" ht="12.75">
      <c r="A891" s="65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</row>
    <row r="892" spans="1:16" ht="12.75">
      <c r="A892" s="65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</row>
    <row r="893" spans="1:16" ht="12.75">
      <c r="A893" s="65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</row>
    <row r="894" spans="1:16" ht="12.75">
      <c r="A894" s="65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</row>
    <row r="895" spans="1:16" ht="12.75">
      <c r="A895" s="65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</row>
    <row r="896" spans="1:16" ht="12.75">
      <c r="A896" s="65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</row>
    <row r="897" spans="1:16" ht="12.75">
      <c r="A897" s="65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</row>
    <row r="898" spans="1:16" ht="12.75">
      <c r="A898" s="65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</row>
    <row r="899" spans="1:16" ht="12.75">
      <c r="A899" s="65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</row>
    <row r="900" spans="1:16" ht="12.75">
      <c r="A900" s="65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</row>
    <row r="901" spans="1:16" ht="12.75">
      <c r="A901" s="65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</row>
    <row r="902" spans="1:16" ht="12.75">
      <c r="A902" s="65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</row>
    <row r="903" spans="1:16" ht="12.75">
      <c r="A903" s="65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</row>
    <row r="904" spans="1:16" ht="12.75">
      <c r="A904" s="65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</row>
    <row r="905" spans="1:16" ht="12.75">
      <c r="A905" s="65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</row>
    <row r="906" spans="1:16" ht="12.75">
      <c r="A906" s="65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</row>
    <row r="907" spans="1:16" ht="12.75">
      <c r="A907" s="65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</row>
    <row r="908" spans="1:16" ht="12.75">
      <c r="A908" s="65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</row>
    <row r="909" spans="1:16" ht="12.75">
      <c r="A909" s="65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</row>
    <row r="910" spans="1:16" ht="12.75">
      <c r="A910" s="65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</row>
    <row r="911" spans="1:16" ht="12.75">
      <c r="A911" s="65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</row>
    <row r="912" spans="1:16" ht="12.75">
      <c r="A912" s="65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</row>
    <row r="913" spans="1:16" ht="12.75">
      <c r="A913" s="65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</row>
    <row r="914" spans="1:16" ht="12.75">
      <c r="A914" s="65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</row>
    <row r="915" spans="1:16" ht="12.75">
      <c r="A915" s="65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</row>
    <row r="916" spans="1:16" ht="12.75">
      <c r="A916" s="65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</row>
    <row r="917" spans="1:16" ht="12.75">
      <c r="A917" s="65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</row>
    <row r="918" spans="1:16" ht="12.75">
      <c r="A918" s="65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</row>
    <row r="919" spans="1:16" ht="12.75">
      <c r="A919" s="65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</row>
    <row r="920" spans="1:16" ht="12.75">
      <c r="A920" s="65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</row>
    <row r="921" spans="1:16" ht="12.75">
      <c r="A921" s="65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</row>
    <row r="922" spans="1:16" ht="12.75">
      <c r="A922" s="65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</row>
    <row r="923" spans="1:16" ht="12.75">
      <c r="A923" s="65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</row>
    <row r="924" spans="1:16" ht="12.75">
      <c r="A924" s="65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</row>
    <row r="925" spans="1:16" ht="12.75">
      <c r="A925" s="65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</row>
    <row r="926" spans="1:16" ht="12.75">
      <c r="A926" s="65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</row>
    <row r="927" spans="1:16" ht="12.75">
      <c r="A927" s="65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</row>
    <row r="928" spans="1:16" ht="12.75">
      <c r="A928" s="65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</row>
    <row r="929" spans="1:16" ht="12.75">
      <c r="A929" s="65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</row>
    <row r="930" spans="1:16" ht="12.75">
      <c r="A930" s="65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</row>
    <row r="931" spans="1:16" ht="12.75">
      <c r="A931" s="65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</row>
    <row r="932" spans="1:16" ht="12.75">
      <c r="A932" s="65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</row>
    <row r="933" spans="1:16" ht="12.75">
      <c r="A933" s="65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</row>
    <row r="934" spans="1:16" ht="12.75">
      <c r="A934" s="65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</row>
    <row r="935" spans="1:16" ht="12.75">
      <c r="A935" s="65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</row>
    <row r="936" spans="1:16" ht="12.75">
      <c r="A936" s="65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</row>
    <row r="937" spans="1:16" ht="12.75">
      <c r="A937" s="65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</row>
    <row r="938" spans="1:16" ht="12.75">
      <c r="A938" s="65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</row>
    <row r="939" spans="1:16" ht="12.75">
      <c r="A939" s="65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</row>
    <row r="940" spans="1:16" ht="12.75">
      <c r="A940" s="65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</row>
    <row r="941" spans="1:16" ht="12.75">
      <c r="A941" s="65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</row>
    <row r="942" spans="1:16" ht="12.75">
      <c r="A942" s="65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</row>
    <row r="943" spans="1:16" ht="12.75">
      <c r="A943" s="65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</row>
    <row r="944" spans="1:16" ht="12.75">
      <c r="A944" s="65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</row>
    <row r="945" spans="1:16" ht="12.75">
      <c r="A945" s="65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</row>
    <row r="946" spans="1:16" ht="12.75">
      <c r="A946" s="65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</row>
    <row r="947" spans="1:16" ht="12.75">
      <c r="A947" s="65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</row>
    <row r="948" spans="1:16" ht="12.75">
      <c r="A948" s="65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</row>
    <row r="949" spans="1:16" ht="12.75">
      <c r="A949" s="65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</row>
    <row r="950" spans="1:16" ht="12.75">
      <c r="A950" s="65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</row>
    <row r="951" spans="1:16" ht="12.75">
      <c r="A951" s="65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</row>
    <row r="952" spans="1:16" ht="12.75">
      <c r="A952" s="65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</row>
    <row r="953" spans="1:16" ht="12.75">
      <c r="A953" s="65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</row>
    <row r="954" spans="1:16" ht="12.75">
      <c r="A954" s="65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</row>
    <row r="955" spans="1:16" ht="12.75">
      <c r="A955" s="65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</row>
    <row r="956" spans="1:16" ht="12.75">
      <c r="A956" s="65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</row>
    <row r="957" spans="1:16" ht="12.75">
      <c r="A957" s="65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</row>
    <row r="958" spans="1:16" ht="12.75">
      <c r="A958" s="65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</row>
    <row r="959" spans="1:16" ht="12.75">
      <c r="A959" s="65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</row>
    <row r="960" spans="1:16" ht="12.75">
      <c r="A960" s="65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</row>
    <row r="961" spans="1:16" ht="12.75">
      <c r="A961" s="65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</row>
    <row r="962" spans="1:16" ht="12.75">
      <c r="A962" s="65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</row>
    <row r="963" spans="1:16" ht="12.75">
      <c r="A963" s="65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</row>
    <row r="964" spans="1:16" ht="12.75">
      <c r="A964" s="65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</row>
    <row r="965" spans="1:16" ht="12.75">
      <c r="A965" s="65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</row>
    <row r="966" spans="1:16" ht="12.75">
      <c r="A966" s="65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</row>
    <row r="967" spans="1:16" ht="12.75">
      <c r="A967" s="65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</row>
    <row r="968" spans="1:16" ht="12.75">
      <c r="A968" s="65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</row>
    <row r="969" spans="1:16" ht="12.75">
      <c r="A969" s="65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</row>
    <row r="970" spans="1:16" ht="12.75">
      <c r="A970" s="65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</row>
    <row r="971" spans="1:16" ht="12.75">
      <c r="A971" s="65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</row>
    <row r="972" spans="1:16" ht="12.75">
      <c r="A972" s="65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</row>
    <row r="973" spans="1:16" ht="12.75">
      <c r="A973" s="65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</row>
    <row r="974" spans="1:16" ht="12.75">
      <c r="A974" s="65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</row>
    <row r="975" spans="1:16" ht="12.75">
      <c r="A975" s="65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</row>
    <row r="976" spans="1:16" ht="12.75">
      <c r="A976" s="65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</row>
    <row r="977" spans="1:16" ht="12.75">
      <c r="A977" s="65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</row>
    <row r="978" spans="1:16" ht="12.75">
      <c r="A978" s="65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</row>
    <row r="979" spans="1:16" ht="12.75">
      <c r="A979" s="65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</row>
    <row r="980" spans="1:16" ht="12.75">
      <c r="A980" s="65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</row>
    <row r="981" spans="1:16" ht="12.75">
      <c r="A981" s="65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</row>
    <row r="982" spans="1:16" ht="12.75">
      <c r="A982" s="65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</row>
    <row r="983" spans="1:16" ht="12.75">
      <c r="A983" s="65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</row>
    <row r="984" spans="1:16" ht="12.75">
      <c r="A984" s="65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</row>
    <row r="985" spans="1:16" ht="12.75">
      <c r="A985" s="65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</row>
    <row r="986" spans="1:16" ht="12.75">
      <c r="A986" s="65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</row>
    <row r="987" spans="1:16" ht="12.75">
      <c r="A987" s="65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</row>
    <row r="988" spans="1:16" ht="12.75">
      <c r="A988" s="65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</row>
    <row r="989" spans="1:16" ht="12.75">
      <c r="A989" s="65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</row>
    <row r="990" spans="1:16" ht="12.75">
      <c r="A990" s="65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</row>
    <row r="991" spans="1:16" ht="12.75">
      <c r="A991" s="65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</row>
    <row r="992" spans="1:16" ht="12.75">
      <c r="A992" s="65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</row>
    <row r="993" spans="1:16" ht="12.75">
      <c r="A993" s="65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</row>
    <row r="994" spans="1:16" ht="12.75">
      <c r="A994" s="65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</row>
    <row r="995" spans="1:16" ht="12.75">
      <c r="A995" s="65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</row>
    <row r="996" spans="1:16" ht="12.75">
      <c r="A996" s="65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</row>
    <row r="997" spans="1:16" ht="12.75">
      <c r="A997" s="65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</row>
    <row r="998" spans="1:16" ht="12.75">
      <c r="A998" s="65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</row>
    <row r="999" spans="1:16" ht="12.75">
      <c r="A999" s="65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</row>
    <row r="1000" spans="1:16" ht="12.75">
      <c r="A1000" s="65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</row>
    <row r="1001" spans="1:16" ht="12.75">
      <c r="A1001" s="65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</row>
    <row r="1002" spans="1:16" ht="12.75">
      <c r="A1002" s="65"/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</row>
    <row r="1003" spans="1:16" ht="12.75">
      <c r="A1003" s="65"/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</row>
    <row r="1004" spans="1:16" ht="12.75">
      <c r="A1004" s="65"/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</row>
    <row r="1005" spans="1:16" ht="12.75">
      <c r="A1005" s="65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</row>
    <row r="1006" spans="1:16" ht="12.75">
      <c r="A1006" s="65"/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</row>
    <row r="1007" spans="1:16" ht="12.75">
      <c r="A1007" s="65"/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</row>
    <row r="1008" spans="1:16" ht="12.75">
      <c r="A1008" s="65"/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</row>
    <row r="1009" spans="1:16" ht="12.75">
      <c r="A1009" s="65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</row>
    <row r="1010" spans="1:16" ht="12.75">
      <c r="A1010" s="65"/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</row>
    <row r="1011" spans="1:16" ht="12.75">
      <c r="A1011" s="65"/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</row>
    <row r="1012" spans="1:16" ht="12.75">
      <c r="A1012" s="65"/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</row>
    <row r="1013" spans="1:16" ht="12.75">
      <c r="A1013" s="65"/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</row>
    <row r="1014" spans="1:16" ht="12.75">
      <c r="A1014" s="65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</row>
    <row r="1015" spans="1:16" ht="12.75">
      <c r="A1015" s="65"/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</row>
    <row r="1016" spans="1:16" ht="12.75">
      <c r="A1016" s="65"/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</row>
    <row r="1017" spans="1:16" ht="12.75">
      <c r="A1017" s="65"/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</row>
    <row r="1018" spans="1:16" ht="12.75">
      <c r="A1018" s="65"/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</row>
    <row r="1019" spans="1:16" ht="12.75">
      <c r="A1019" s="65"/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</row>
    <row r="1020" spans="1:16" ht="12.75">
      <c r="A1020" s="65"/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</row>
    <row r="1021" spans="1:16" ht="12.75">
      <c r="A1021" s="65"/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</row>
    <row r="1022" spans="1:16" ht="12.75">
      <c r="A1022" s="65"/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</row>
    <row r="1023" spans="1:16" ht="12.75">
      <c r="A1023" s="65"/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</row>
    <row r="1024" spans="1:16" ht="12.75">
      <c r="A1024" s="65"/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</row>
    <row r="1025" spans="1:16" ht="12.75">
      <c r="A1025" s="65"/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</row>
    <row r="1026" spans="1:16" ht="12.75">
      <c r="A1026" s="65"/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</row>
    <row r="1027" spans="1:16" ht="12.75">
      <c r="A1027" s="65"/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</row>
    <row r="1028" spans="1:16" ht="12.75">
      <c r="A1028" s="65"/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</row>
    <row r="1029" spans="1:16" ht="12.75">
      <c r="A1029" s="65"/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</row>
    <row r="1030" spans="1:16" ht="12.75">
      <c r="A1030" s="65"/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</row>
    <row r="1031" spans="1:16" ht="12.75">
      <c r="A1031" s="65"/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</row>
    <row r="1032" spans="1:16" ht="12.75">
      <c r="A1032" s="65"/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</row>
    <row r="1033" spans="1:16" ht="12.75">
      <c r="A1033" s="65"/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</row>
    <row r="1034" spans="1:16" ht="12.75">
      <c r="A1034" s="65"/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</row>
    <row r="1035" spans="1:16" ht="12.75">
      <c r="A1035" s="65"/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</row>
    <row r="1036" spans="1:16" ht="12.75">
      <c r="A1036" s="65"/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</row>
    <row r="1037" spans="1:16" ht="12.75">
      <c r="A1037" s="65"/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</row>
    <row r="1038" spans="1:16" ht="12.75">
      <c r="A1038" s="65"/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</row>
    <row r="1039" spans="1:16" ht="12.75">
      <c r="A1039" s="65"/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</row>
    <row r="1040" spans="1:16" ht="12.75">
      <c r="A1040" s="65"/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</row>
    <row r="1041" spans="1:16" ht="12.75">
      <c r="A1041" s="65"/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</row>
    <row r="1042" spans="1:16" ht="12.75">
      <c r="A1042" s="65"/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</row>
    <row r="1043" spans="1:16" ht="12.75">
      <c r="A1043" s="65"/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</row>
    <row r="1044" spans="1:16" ht="12.75">
      <c r="A1044" s="65"/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</row>
    <row r="1045" spans="1:16" ht="12.75">
      <c r="A1045" s="65"/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</row>
    <row r="1046" spans="1:16" ht="12.75">
      <c r="A1046" s="65"/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</row>
    <row r="1047" spans="1:16" ht="12.75">
      <c r="A1047" s="65"/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</row>
    <row r="1048" spans="1:16" ht="12.75">
      <c r="A1048" s="65"/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</row>
    <row r="1049" spans="1:16" ht="12.75">
      <c r="A1049" s="65"/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</row>
    <row r="1050" spans="1:16" ht="12.75">
      <c r="A1050" s="65"/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</row>
    <row r="1051" spans="1:16" ht="12.75">
      <c r="A1051" s="65"/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</row>
    <row r="1052" spans="1:16" ht="12.75">
      <c r="A1052" s="65"/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</row>
    <row r="1053" spans="1:16" ht="12.75">
      <c r="A1053" s="65"/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</row>
    <row r="1054" spans="1:16" ht="12.75">
      <c r="A1054" s="65"/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</row>
    <row r="1055" spans="1:16" ht="12.75">
      <c r="A1055" s="65"/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</row>
    <row r="1056" spans="1:16" ht="12.75">
      <c r="A1056" s="65"/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</row>
    <row r="1057" spans="1:16" ht="12.75">
      <c r="A1057" s="65"/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</row>
    <row r="1058" spans="1:16" ht="12.75">
      <c r="A1058" s="65"/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</row>
    <row r="1059" spans="1:16" ht="12.75">
      <c r="A1059" s="65"/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</row>
    <row r="1060" spans="1:16" ht="12.75">
      <c r="A1060" s="65"/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</row>
    <row r="1061" spans="1:16" ht="12.75">
      <c r="A1061" s="65"/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</row>
    <row r="1062" spans="1:16" ht="12.75">
      <c r="A1062" s="65"/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</row>
    <row r="1063" spans="1:16" ht="12.75">
      <c r="A1063" s="65"/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</row>
    <row r="1064" spans="1:16" ht="12.75">
      <c r="A1064" s="65"/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</row>
    <row r="1065" spans="1:16" ht="12.75">
      <c r="A1065" s="65"/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</row>
    <row r="1066" spans="1:16" ht="12.75">
      <c r="A1066" s="65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</row>
    <row r="1067" spans="1:16" ht="12.75">
      <c r="A1067" s="65"/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</row>
    <row r="1068" spans="1:16" ht="12.75">
      <c r="A1068" s="65"/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</row>
    <row r="1069" spans="1:16" ht="12.75">
      <c r="A1069" s="65"/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</row>
    <row r="1070" spans="1:16" ht="12.75">
      <c r="A1070" s="65"/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</row>
    <row r="1071" spans="1:16" ht="12.75">
      <c r="A1071" s="65"/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</row>
    <row r="1072" spans="1:16" ht="12.75">
      <c r="A1072" s="65"/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</row>
    <row r="1073" spans="1:16" ht="12.75">
      <c r="A1073" s="65"/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</row>
    <row r="1074" spans="1:16" ht="12.75">
      <c r="A1074" s="65"/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</row>
    <row r="1075" spans="1:16" ht="12.75">
      <c r="A1075" s="65"/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</row>
    <row r="1076" spans="1:16" ht="12.75">
      <c r="A1076" s="65"/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</row>
    <row r="1077" spans="1:16" ht="12.75">
      <c r="A1077" s="65"/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</row>
    <row r="1078" spans="1:16" ht="12.75">
      <c r="A1078" s="65"/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</row>
    <row r="1079" spans="1:16" ht="12.75">
      <c r="A1079" s="65"/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</row>
    <row r="1080" spans="1:16" ht="12.75">
      <c r="A1080" s="65"/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</row>
    <row r="1081" spans="1:16" ht="12.75">
      <c r="A1081" s="65"/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</row>
    <row r="1082" spans="1:16" ht="12.75">
      <c r="A1082" s="65"/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</row>
    <row r="1083" spans="1:16" ht="12.75">
      <c r="A1083" s="65"/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</row>
    <row r="1084" spans="1:16" ht="12.75">
      <c r="A1084" s="65"/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</row>
    <row r="1085" spans="1:16" ht="12.75">
      <c r="A1085" s="65"/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</row>
    <row r="1086" spans="1:16" ht="12.75">
      <c r="A1086" s="65"/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</row>
    <row r="1087" spans="1:16" ht="12.75">
      <c r="A1087" s="65"/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</row>
    <row r="1088" spans="1:16" ht="12.75">
      <c r="A1088" s="65"/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</row>
    <row r="1089" spans="1:16" ht="12.75">
      <c r="A1089" s="65"/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</row>
    <row r="1090" spans="1:16" ht="12.75">
      <c r="A1090" s="65"/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</row>
    <row r="1091" spans="1:16" ht="12.75">
      <c r="A1091" s="65"/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</row>
    <row r="1092" spans="1:16" ht="12.75">
      <c r="A1092" s="65"/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</row>
    <row r="1093" spans="1:16" ht="12.75">
      <c r="A1093" s="65"/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</row>
    <row r="1094" spans="1:16" ht="12.75">
      <c r="A1094" s="65"/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</row>
    <row r="1095" spans="1:16" ht="12.75">
      <c r="A1095" s="65"/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</row>
    <row r="1096" spans="1:16" ht="12.75">
      <c r="A1096" s="65"/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</row>
    <row r="1097" spans="1:16" ht="12.75">
      <c r="A1097" s="65"/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</row>
    <row r="1098" spans="1:16" ht="12.75">
      <c r="A1098" s="65"/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</row>
    <row r="1099" spans="1:16" ht="12.75">
      <c r="A1099" s="65"/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</row>
    <row r="1100" spans="1:16" ht="12.75">
      <c r="A1100" s="65"/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</row>
    <row r="1101" spans="1:16" ht="12.75">
      <c r="A1101" s="65"/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</row>
    <row r="1102" spans="1:16" ht="12.75">
      <c r="A1102" s="65"/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</row>
    <row r="1103" spans="1:16" ht="12.75">
      <c r="A1103" s="65"/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</row>
    <row r="1104" spans="1:16" ht="12.75">
      <c r="A1104" s="65"/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</row>
    <row r="1105" spans="1:16" ht="12.75">
      <c r="A1105" s="65"/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</row>
    <row r="1106" spans="1:16" ht="12.75">
      <c r="A1106" s="65"/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</row>
    <row r="1107" spans="1:16" ht="12.75">
      <c r="A1107" s="65"/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</row>
    <row r="1108" spans="1:16" ht="12.75">
      <c r="A1108" s="65"/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</row>
    <row r="1109" spans="1:16" ht="12.75">
      <c r="A1109" s="65"/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</row>
    <row r="1110" spans="1:16" ht="12.75">
      <c r="A1110" s="65"/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</row>
    <row r="1111" spans="1:16" ht="12.75">
      <c r="A1111" s="65"/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</row>
    <row r="1112" spans="1:16" ht="12.75">
      <c r="A1112" s="65"/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</row>
    <row r="1113" spans="1:16" ht="12.75">
      <c r="A1113" s="65"/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</row>
    <row r="1114" spans="1:16" ht="12.75">
      <c r="A1114" s="65"/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</row>
    <row r="1115" spans="1:16" ht="12.75">
      <c r="A1115" s="65"/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</row>
    <row r="1116" spans="1:16" ht="12.75">
      <c r="A1116" s="65"/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</row>
    <row r="1117" spans="1:16" ht="12.75">
      <c r="A1117" s="65"/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</row>
    <row r="1118" spans="1:16" ht="12.75">
      <c r="A1118" s="65"/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</row>
    <row r="1119" spans="1:16" ht="12.75">
      <c r="A1119" s="65"/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</row>
    <row r="1120" spans="1:16" ht="12.75">
      <c r="A1120" s="65"/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</row>
    <row r="1121" spans="1:16" ht="12.75">
      <c r="A1121" s="65"/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</row>
    <row r="1122" spans="1:16" ht="12.75">
      <c r="A1122" s="65"/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</row>
    <row r="1123" spans="1:16" ht="12.75">
      <c r="A1123" s="65"/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</row>
    <row r="1124" spans="1:16" ht="12.75">
      <c r="A1124" s="65"/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</row>
    <row r="1125" spans="1:16" ht="12.75">
      <c r="A1125" s="65"/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</row>
    <row r="1126" spans="1:16" ht="12.75">
      <c r="A1126" s="65"/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</row>
    <row r="1127" spans="1:16" ht="12.75">
      <c r="A1127" s="65"/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</row>
    <row r="1128" spans="1:16" ht="12.75">
      <c r="A1128" s="65"/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</row>
    <row r="1129" spans="1:16" ht="12.75">
      <c r="A1129" s="65"/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</row>
    <row r="1130" spans="1:16" ht="12.75">
      <c r="A1130" s="65"/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</row>
    <row r="1131" spans="1:16" ht="12.75">
      <c r="A1131" s="65"/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</row>
    <row r="1132" spans="1:16" ht="12.75">
      <c r="A1132" s="65"/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</row>
    <row r="1133" spans="1:16" ht="12.75">
      <c r="A1133" s="65"/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</row>
    <row r="1134" spans="1:16" ht="12.75">
      <c r="A1134" s="65"/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</row>
    <row r="1135" spans="1:16" ht="12.75">
      <c r="A1135" s="65"/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</row>
    <row r="1136" spans="1:16" ht="12.75">
      <c r="A1136" s="65"/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</row>
    <row r="1137" spans="1:16" ht="12.75">
      <c r="A1137" s="65"/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</row>
    <row r="1138" spans="1:16" ht="12.75">
      <c r="A1138" s="65"/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</row>
    <row r="1139" spans="1:16" ht="12.75">
      <c r="A1139" s="65"/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</row>
    <row r="1140" spans="1:16" ht="12.75">
      <c r="A1140" s="65"/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</row>
    <row r="1141" spans="1:16" ht="12.75">
      <c r="A1141" s="65"/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</row>
    <row r="1142" spans="1:16" ht="12.75">
      <c r="A1142" s="65"/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</row>
    <row r="1143" spans="1:16" ht="12.75">
      <c r="A1143" s="65"/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</row>
    <row r="1144" spans="1:16" ht="12.75">
      <c r="A1144" s="65"/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</row>
    <row r="1145" spans="1:16" ht="12.75">
      <c r="A1145" s="65"/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</row>
    <row r="1146" spans="1:16" ht="12.75">
      <c r="A1146" s="65"/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</row>
    <row r="1147" spans="1:16" ht="12.75">
      <c r="A1147" s="65"/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</row>
    <row r="1148" spans="1:16" ht="12.75">
      <c r="A1148" s="65"/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</row>
    <row r="1149" spans="1:16" ht="12.75">
      <c r="A1149" s="65"/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</row>
    <row r="1150" spans="1:16" ht="12.75">
      <c r="A1150" s="65"/>
      <c r="B1150" s="66"/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</row>
    <row r="1151" spans="1:16" ht="12.75">
      <c r="A1151" s="65"/>
      <c r="B1151" s="66"/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</row>
    <row r="1152" spans="1:16" ht="12.75">
      <c r="A1152" s="65"/>
      <c r="B1152" s="66"/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</row>
    <row r="1153" spans="1:16" ht="12.75">
      <c r="A1153" s="65"/>
      <c r="B1153" s="66"/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</row>
    <row r="1154" spans="1:16" ht="12.75">
      <c r="A1154" s="65"/>
      <c r="B1154" s="66"/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</row>
    <row r="1155" spans="1:16" ht="12.75">
      <c r="A1155" s="65"/>
      <c r="B1155" s="66"/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</row>
    <row r="1156" spans="1:16" ht="12.75">
      <c r="A1156" s="65"/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</row>
    <row r="1157" spans="1:16" ht="12.75">
      <c r="A1157" s="65"/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</row>
    <row r="1158" spans="1:16" ht="12.75">
      <c r="A1158" s="65"/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</row>
    <row r="1159" spans="1:16" ht="12.75">
      <c r="A1159" s="65"/>
      <c r="B1159" s="66"/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</row>
    <row r="1160" spans="1:16" ht="12.75">
      <c r="A1160" s="65"/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</row>
    <row r="1161" spans="1:16" ht="12.75">
      <c r="A1161" s="65"/>
      <c r="B1161" s="66"/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</row>
    <row r="1162" spans="1:16" ht="12.75">
      <c r="A1162" s="65"/>
      <c r="B1162" s="66"/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</row>
    <row r="1163" spans="1:16" ht="12.75">
      <c r="A1163" s="65"/>
      <c r="B1163" s="66"/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</row>
    <row r="1164" spans="1:16" ht="12.75">
      <c r="A1164" s="65"/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</row>
    <row r="1165" spans="1:16" ht="12.75">
      <c r="A1165" s="65"/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</row>
    <row r="1166" spans="1:16" ht="12.75">
      <c r="A1166" s="65"/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</row>
    <row r="1167" spans="1:16" ht="12.75">
      <c r="A1167" s="65"/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</row>
    <row r="1168" spans="1:16" ht="12.75">
      <c r="A1168" s="65"/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</row>
    <row r="1169" spans="1:16" ht="12.75">
      <c r="A1169" s="65"/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</row>
    <row r="1170" spans="1:16" ht="12.75">
      <c r="A1170" s="65"/>
      <c r="B1170" s="66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</row>
    <row r="1171" spans="1:16" ht="12.75">
      <c r="A1171" s="65"/>
      <c r="B1171" s="66"/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</row>
    <row r="1172" spans="1:16" ht="12.75">
      <c r="A1172" s="65"/>
      <c r="B1172" s="66"/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</row>
    <row r="1173" spans="1:16" ht="12.75">
      <c r="A1173" s="65"/>
      <c r="B1173" s="66"/>
      <c r="C1173" s="66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</row>
    <row r="1174" spans="1:16" ht="12.75">
      <c r="A1174" s="65"/>
      <c r="B1174" s="66"/>
      <c r="C1174" s="66"/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</row>
    <row r="1175" spans="1:16" ht="12.75">
      <c r="A1175" s="65"/>
      <c r="B1175" s="66"/>
      <c r="C1175" s="66"/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</row>
    <row r="1176" spans="1:16" ht="12.75">
      <c r="A1176" s="65"/>
      <c r="B1176" s="66"/>
      <c r="C1176" s="66"/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</row>
    <row r="1177" spans="1:16" ht="12.75">
      <c r="A1177" s="65"/>
      <c r="B1177" s="66"/>
      <c r="C1177" s="66"/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</row>
    <row r="1178" spans="1:16" ht="12.75">
      <c r="A1178" s="65"/>
      <c r="B1178" s="66"/>
      <c r="C1178" s="66"/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</row>
    <row r="1179" spans="1:16" ht="12.75">
      <c r="A1179" s="65"/>
      <c r="B1179" s="66"/>
      <c r="C1179" s="66"/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</row>
    <row r="1180" spans="1:16" ht="12.75">
      <c r="A1180" s="65"/>
      <c r="B1180" s="66"/>
      <c r="C1180" s="66"/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</row>
    <row r="1181" spans="1:16" ht="12.75">
      <c r="A1181" s="65"/>
      <c r="B1181" s="66"/>
      <c r="C1181" s="66"/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</row>
    <row r="1182" spans="1:16" ht="12.75">
      <c r="A1182" s="65"/>
      <c r="B1182" s="66"/>
      <c r="C1182" s="66"/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</row>
    <row r="1183" spans="1:16" ht="12.75">
      <c r="A1183" s="65"/>
      <c r="B1183" s="66"/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</row>
    <row r="1184" spans="1:16" ht="12.75">
      <c r="A1184" s="65"/>
      <c r="B1184" s="66"/>
      <c r="C1184" s="66"/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</row>
    <row r="1185" spans="1:16" ht="12.75">
      <c r="A1185" s="65"/>
      <c r="B1185" s="66"/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</row>
    <row r="1186" spans="1:16" ht="12.75">
      <c r="A1186" s="65"/>
      <c r="B1186" s="66"/>
      <c r="C1186" s="66"/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</row>
    <row r="1187" spans="1:16" ht="12.75">
      <c r="A1187" s="65"/>
      <c r="B1187" s="66"/>
      <c r="C1187" s="66"/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</row>
    <row r="1188" spans="1:16" ht="12.75">
      <c r="A1188" s="65"/>
      <c r="B1188" s="66"/>
      <c r="C1188" s="66"/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</row>
    <row r="1189" spans="1:16" ht="12.75">
      <c r="A1189" s="65"/>
      <c r="B1189" s="66"/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</row>
    <row r="1190" spans="1:16" ht="12.75">
      <c r="A1190" s="65"/>
      <c r="B1190" s="66"/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</row>
    <row r="1191" spans="1:16" ht="12.75">
      <c r="A1191" s="65"/>
      <c r="B1191" s="66"/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</row>
    <row r="1192" spans="1:16" ht="12.75">
      <c r="A1192" s="65"/>
      <c r="B1192" s="66"/>
      <c r="C1192" s="66"/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</row>
    <row r="1193" spans="1:16" ht="12.75">
      <c r="A1193" s="65"/>
      <c r="B1193" s="66"/>
      <c r="C1193" s="66"/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</row>
    <row r="1194" spans="1:16" ht="12.75">
      <c r="A1194" s="65"/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</row>
    <row r="1195" spans="1:16" ht="12.75">
      <c r="A1195" s="65"/>
      <c r="B1195" s="66"/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</row>
    <row r="1196" spans="1:16" ht="12.75">
      <c r="A1196" s="65"/>
      <c r="B1196" s="66"/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</row>
    <row r="1197" spans="1:16" ht="12.75">
      <c r="A1197" s="65"/>
      <c r="B1197" s="66"/>
      <c r="C1197" s="66"/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</row>
    <row r="1198" spans="1:16" ht="12.75">
      <c r="A1198" s="65"/>
      <c r="B1198" s="66"/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</row>
    <row r="1199" spans="1:16" ht="12.75">
      <c r="A1199" s="65"/>
      <c r="B1199" s="66"/>
      <c r="C1199" s="66"/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</row>
    <row r="1200" spans="1:16" ht="12.75">
      <c r="A1200" s="65"/>
      <c r="B1200" s="66"/>
      <c r="C1200" s="66"/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</row>
    <row r="1201" spans="1:16" ht="12.75">
      <c r="A1201" s="65"/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</row>
    <row r="1202" spans="1:16" ht="12.75">
      <c r="A1202" s="65"/>
      <c r="B1202" s="66"/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</row>
    <row r="1203" spans="1:16" ht="12.75">
      <c r="A1203" s="65"/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</row>
    <row r="1204" spans="1:16" ht="12.75">
      <c r="A1204" s="65"/>
      <c r="B1204" s="66"/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</row>
    <row r="1205" spans="1:16" ht="12.75">
      <c r="A1205" s="65"/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</row>
    <row r="1206" spans="1:16" ht="12.75">
      <c r="A1206" s="65"/>
      <c r="B1206" s="66"/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</row>
    <row r="1207" spans="1:16" ht="12.75">
      <c r="A1207" s="65"/>
      <c r="B1207" s="66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</row>
    <row r="1208" spans="1:16" ht="12.75">
      <c r="A1208" s="65"/>
      <c r="B1208" s="66"/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</row>
    <row r="1209" spans="1:16" ht="12.75">
      <c r="A1209" s="65"/>
      <c r="B1209" s="66"/>
      <c r="C1209" s="66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</row>
    <row r="1210" spans="1:16" ht="12.75">
      <c r="A1210" s="65"/>
      <c r="B1210" s="66"/>
      <c r="C1210" s="66"/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</row>
    <row r="1211" spans="1:16" ht="12.75">
      <c r="A1211" s="65"/>
      <c r="B1211" s="66"/>
      <c r="C1211" s="66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</row>
    <row r="1212" spans="1:16" ht="12.75">
      <c r="A1212" s="65"/>
      <c r="B1212" s="66"/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</row>
    <row r="1213" spans="1:16" ht="12.75">
      <c r="A1213" s="65"/>
      <c r="B1213" s="66"/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</row>
    <row r="1214" spans="1:16" ht="12.75">
      <c r="A1214" s="65"/>
      <c r="B1214" s="66"/>
      <c r="C1214" s="66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</row>
    <row r="1215" spans="1:16" ht="12.75">
      <c r="A1215" s="65"/>
      <c r="B1215" s="66"/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</row>
    <row r="1216" spans="1:16" ht="12.75">
      <c r="A1216" s="65"/>
      <c r="B1216" s="66"/>
      <c r="C1216" s="66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</row>
    <row r="1217" spans="1:16" ht="12.75">
      <c r="A1217" s="65"/>
      <c r="B1217" s="66"/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</row>
    <row r="1218" spans="1:16" ht="12.75">
      <c r="A1218" s="65"/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</row>
    <row r="1219" spans="1:16" ht="12.75">
      <c r="A1219" s="65"/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</row>
    <row r="1220" spans="1:16" ht="12.75">
      <c r="A1220" s="65"/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</row>
    <row r="1221" spans="1:16" ht="12.75">
      <c r="A1221" s="65"/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</row>
    <row r="1222" spans="1:16" ht="12.75">
      <c r="A1222" s="65"/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</row>
    <row r="1223" spans="1:16" ht="12.75">
      <c r="A1223" s="65"/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</row>
    <row r="1224" spans="1:16" ht="12.75">
      <c r="A1224" s="65"/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</row>
    <row r="1225" spans="1:16" ht="12.75">
      <c r="A1225" s="65"/>
      <c r="B1225" s="66"/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</row>
    <row r="1226" spans="1:16" ht="12.75">
      <c r="A1226" s="65"/>
      <c r="B1226" s="66"/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</row>
    <row r="1227" spans="1:16" ht="12.75">
      <c r="A1227" s="65"/>
      <c r="B1227" s="66"/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</row>
    <row r="1228" spans="1:16" ht="12.75">
      <c r="A1228" s="65"/>
      <c r="B1228" s="66"/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</row>
    <row r="1229" spans="1:16" ht="12.75">
      <c r="A1229" s="65"/>
      <c r="B1229" s="66"/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</row>
    <row r="1230" spans="1:16" ht="12.75">
      <c r="A1230" s="65"/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</row>
    <row r="1231" spans="1:16" ht="12.75">
      <c r="A1231" s="65"/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</row>
    <row r="1232" spans="1:16" ht="12.75">
      <c r="A1232" s="65"/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</row>
    <row r="1233" spans="1:16" ht="12.75">
      <c r="A1233" s="65"/>
      <c r="B1233" s="66"/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</row>
    <row r="1234" spans="1:16" ht="12.75">
      <c r="A1234" s="65"/>
      <c r="B1234" s="66"/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</row>
    <row r="1235" spans="1:16" ht="12.75">
      <c r="A1235" s="65"/>
      <c r="B1235" s="66"/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</row>
    <row r="1236" spans="1:16" ht="12.75">
      <c r="A1236" s="65"/>
      <c r="B1236" s="66"/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</row>
    <row r="1237" spans="1:16" ht="12.75">
      <c r="A1237" s="65"/>
      <c r="B1237" s="66"/>
      <c r="C1237" s="66"/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</row>
    <row r="1238" spans="1:16" ht="12.75">
      <c r="A1238" s="65"/>
      <c r="B1238" s="66"/>
      <c r="C1238" s="66"/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</row>
    <row r="1239" spans="1:16" ht="12.75">
      <c r="A1239" s="65"/>
      <c r="B1239" s="66"/>
      <c r="C1239" s="66"/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</row>
    <row r="1240" spans="1:16" ht="12.75">
      <c r="A1240" s="65"/>
      <c r="B1240" s="66"/>
      <c r="C1240" s="66"/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</row>
    <row r="1241" spans="1:16" ht="12.75">
      <c r="A1241" s="65"/>
      <c r="B1241" s="66"/>
      <c r="C1241" s="66"/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</row>
    <row r="1242" spans="1:16" ht="12.75">
      <c r="A1242" s="65"/>
      <c r="B1242" s="66"/>
      <c r="C1242" s="66"/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</row>
    <row r="1243" spans="1:16" ht="12.75">
      <c r="A1243" s="65"/>
      <c r="B1243" s="66"/>
      <c r="C1243" s="66"/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</row>
    <row r="1244" spans="1:16" ht="12.75">
      <c r="A1244" s="65"/>
      <c r="B1244" s="66"/>
      <c r="C1244" s="66"/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</row>
    <row r="1245" spans="1:16" ht="12.75">
      <c r="A1245" s="65"/>
      <c r="B1245" s="66"/>
      <c r="C1245" s="66"/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</row>
    <row r="1246" spans="1:16" ht="12.75">
      <c r="A1246" s="65"/>
      <c r="B1246" s="66"/>
      <c r="C1246" s="66"/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</row>
    <row r="1247" spans="1:16" ht="12.75">
      <c r="A1247" s="65"/>
      <c r="B1247" s="66"/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</row>
    <row r="1248" spans="1:16" ht="12.75">
      <c r="A1248" s="65"/>
      <c r="B1248" s="66"/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</row>
    <row r="1249" spans="1:16" ht="12.75">
      <c r="A1249" s="65"/>
      <c r="B1249" s="66"/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</row>
    <row r="1250" spans="1:16" ht="12.75">
      <c r="A1250" s="65"/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</row>
    <row r="1251" spans="1:16" ht="12.75">
      <c r="A1251" s="65"/>
      <c r="B1251" s="66"/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</row>
    <row r="1252" spans="1:16" ht="12.75">
      <c r="A1252" s="65"/>
      <c r="B1252" s="66"/>
      <c r="C1252" s="66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</row>
    <row r="1253" spans="1:16" ht="12.75">
      <c r="A1253" s="65"/>
      <c r="B1253" s="66"/>
      <c r="C1253" s="66"/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</row>
    <row r="1254" spans="1:16" ht="12.75">
      <c r="A1254" s="65"/>
      <c r="B1254" s="66"/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</row>
    <row r="1255" spans="1:16" ht="12.75">
      <c r="A1255" s="65"/>
      <c r="B1255" s="66"/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</row>
    <row r="1256" spans="1:16" ht="12.75">
      <c r="A1256" s="65"/>
      <c r="B1256" s="66"/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</row>
    <row r="1257" spans="1:16" ht="12.75">
      <c r="A1257" s="65"/>
      <c r="B1257" s="66"/>
      <c r="C1257" s="66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</row>
    <row r="1258" spans="1:16" ht="12.75">
      <c r="A1258" s="65"/>
      <c r="B1258" s="66"/>
      <c r="C1258" s="66"/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</row>
    <row r="1259" spans="1:16" ht="12.75">
      <c r="A1259" s="65"/>
      <c r="B1259" s="66"/>
      <c r="C1259" s="66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</row>
    <row r="1260" spans="1:16" ht="12.75">
      <c r="A1260" s="65"/>
      <c r="B1260" s="66"/>
      <c r="C1260" s="66"/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</row>
    <row r="1261" spans="1:16" ht="12.75">
      <c r="A1261" s="65"/>
      <c r="B1261" s="66"/>
      <c r="C1261" s="66"/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</row>
    <row r="1262" spans="1:16" ht="12.75">
      <c r="A1262" s="65"/>
      <c r="B1262" s="66"/>
      <c r="C1262" s="66"/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</row>
    <row r="1263" spans="1:16" ht="12.75">
      <c r="A1263" s="65"/>
      <c r="B1263" s="66"/>
      <c r="C1263" s="66"/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</row>
    <row r="1264" spans="1:16" ht="12.75">
      <c r="A1264" s="65"/>
      <c r="B1264" s="66"/>
      <c r="C1264" s="66"/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</row>
    <row r="1265" spans="1:16" ht="12.75">
      <c r="A1265" s="65"/>
      <c r="B1265" s="66"/>
      <c r="C1265" s="66"/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</row>
    <row r="1266" spans="1:16" ht="12.75">
      <c r="A1266" s="65"/>
      <c r="B1266" s="66"/>
      <c r="C1266" s="66"/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</row>
    <row r="1267" spans="1:16" ht="12.75">
      <c r="A1267" s="65"/>
      <c r="B1267" s="66"/>
      <c r="C1267" s="66"/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</row>
    <row r="1268" spans="1:16" ht="12.75">
      <c r="A1268" s="65"/>
      <c r="B1268" s="66"/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</row>
    <row r="1269" spans="1:16" ht="12.75">
      <c r="A1269" s="65"/>
      <c r="B1269" s="66"/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</row>
    <row r="1270" spans="1:16" ht="12.75">
      <c r="A1270" s="65"/>
      <c r="B1270" s="66"/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</row>
    <row r="1271" spans="1:16" ht="12.75">
      <c r="A1271" s="65"/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</row>
    <row r="1272" spans="1:16" ht="12.75">
      <c r="A1272" s="65"/>
      <c r="B1272" s="66"/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</row>
    <row r="1273" spans="1:16" ht="12.75">
      <c r="A1273" s="65"/>
      <c r="B1273" s="66"/>
      <c r="C1273" s="66"/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</row>
    <row r="1274" spans="1:16" ht="12.75">
      <c r="A1274" s="65"/>
      <c r="B1274" s="66"/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</row>
    <row r="1275" spans="1:16" ht="12.75">
      <c r="A1275" s="65"/>
      <c r="B1275" s="66"/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</row>
    <row r="1276" spans="1:16" ht="12.75">
      <c r="A1276" s="65"/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</row>
    <row r="1277" spans="1:16" ht="12.75">
      <c r="A1277" s="65"/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</row>
    <row r="1278" spans="1:16" ht="12.75">
      <c r="A1278" s="65"/>
      <c r="B1278" s="66"/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</row>
    <row r="1279" spans="1:16" ht="12.75">
      <c r="A1279" s="65"/>
      <c r="B1279" s="66"/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</row>
    <row r="1280" spans="1:16" ht="12.75">
      <c r="A1280" s="65"/>
      <c r="B1280" s="66"/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</row>
    <row r="1281" spans="1:16" ht="12.75">
      <c r="A1281" s="65"/>
      <c r="B1281" s="66"/>
      <c r="C1281" s="66"/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</row>
    <row r="1282" spans="1:16" ht="12.75">
      <c r="A1282" s="65"/>
      <c r="B1282" s="66"/>
      <c r="C1282" s="66"/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</row>
    <row r="1283" spans="1:16" ht="12.75">
      <c r="A1283" s="65"/>
      <c r="B1283" s="66"/>
      <c r="C1283" s="66"/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</row>
    <row r="1284" spans="1:16" ht="12.75">
      <c r="A1284" s="65"/>
      <c r="B1284" s="66"/>
      <c r="C1284" s="66"/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</row>
    <row r="1285" spans="1:16" ht="12.75">
      <c r="A1285" s="65"/>
      <c r="B1285" s="66"/>
      <c r="C1285" s="66"/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</row>
    <row r="1286" spans="1:16" ht="12.75">
      <c r="A1286" s="65"/>
      <c r="B1286" s="66"/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</row>
    <row r="1287" spans="1:16" ht="12.75">
      <c r="A1287" s="65"/>
      <c r="B1287" s="66"/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</row>
    <row r="1288" spans="1:16" ht="12.75">
      <c r="A1288" s="65"/>
      <c r="B1288" s="66"/>
      <c r="C1288" s="66"/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</row>
    <row r="1289" spans="1:16" ht="12.75">
      <c r="A1289" s="65"/>
      <c r="B1289" s="66"/>
      <c r="C1289" s="66"/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</row>
    <row r="1290" spans="1:16" ht="12.75">
      <c r="A1290" s="65"/>
      <c r="B1290" s="66"/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</row>
    <row r="1291" spans="1:16" ht="12.75">
      <c r="A1291" s="65"/>
      <c r="B1291" s="66"/>
      <c r="C1291" s="66"/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</row>
    <row r="1292" spans="1:16" ht="12.75">
      <c r="A1292" s="65"/>
      <c r="B1292" s="66"/>
      <c r="C1292" s="66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</row>
    <row r="1293" spans="1:16" ht="12.75">
      <c r="A1293" s="65"/>
      <c r="B1293" s="66"/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</row>
    <row r="1294" spans="1:16" ht="12.75">
      <c r="A1294" s="65"/>
      <c r="B1294" s="66"/>
      <c r="C1294" s="66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</row>
    <row r="1295" spans="1:16" ht="12.75">
      <c r="A1295" s="65"/>
      <c r="B1295" s="66"/>
      <c r="C1295" s="66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</row>
    <row r="1296" spans="1:16" ht="12.75">
      <c r="A1296" s="65"/>
      <c r="B1296" s="66"/>
      <c r="C1296" s="66"/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</row>
    <row r="1297" spans="1:16" ht="12.75">
      <c r="A1297" s="65"/>
      <c r="B1297" s="66"/>
      <c r="C1297" s="66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</row>
    <row r="1298" spans="1:16" ht="12.75">
      <c r="A1298" s="65"/>
      <c r="B1298" s="66"/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05"/>
  <sheetViews>
    <sheetView zoomScaleSheetLayoutView="100" zoomScalePageLayoutView="0" workbookViewId="0" topLeftCell="A1">
      <selection activeCell="C20" sqref="C20"/>
    </sheetView>
  </sheetViews>
  <sheetFormatPr defaultColWidth="9.140625" defaultRowHeight="12.75" outlineLevelRow="2"/>
  <cols>
    <col min="1" max="1" width="7.421875" style="72" customWidth="1"/>
    <col min="2" max="2" width="9.00390625" style="143" customWidth="1"/>
    <col min="3" max="3" width="38.140625" style="144" customWidth="1"/>
    <col min="4" max="8" width="12.7109375" style="72" hidden="1" customWidth="1"/>
    <col min="9" max="9" width="20.7109375" style="72" hidden="1" customWidth="1"/>
    <col min="10" max="11" width="9.140625" style="72" hidden="1" customWidth="1"/>
    <col min="12" max="12" width="12.57421875" style="72" customWidth="1"/>
    <col min="13" max="13" width="13.57421875" style="72" customWidth="1"/>
    <col min="14" max="14" width="9.57421875" style="72" customWidth="1"/>
    <col min="15" max="15" width="11.421875" style="72" customWidth="1"/>
    <col min="16" max="16" width="10.421875" style="72" customWidth="1"/>
    <col min="17" max="17" width="9.7109375" style="72" customWidth="1"/>
    <col min="18" max="18" width="11.140625" style="72" customWidth="1"/>
    <col min="19" max="16384" width="9.140625" style="72" customWidth="1"/>
  </cols>
  <sheetData>
    <row r="1" spans="3:18" ht="12" thickBot="1">
      <c r="C1" s="1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 thickTop="1">
      <c r="A2" s="199"/>
      <c r="B2" s="73"/>
      <c r="C2" s="409" t="s">
        <v>408</v>
      </c>
      <c r="D2" s="367"/>
      <c r="E2" s="368"/>
      <c r="F2" s="367"/>
      <c r="G2" s="368"/>
      <c r="H2" s="368"/>
      <c r="I2" s="367"/>
      <c r="J2" s="368"/>
      <c r="K2" s="368"/>
      <c r="L2" s="368"/>
      <c r="M2" s="368"/>
      <c r="N2" s="368"/>
      <c r="O2" s="367"/>
      <c r="P2" s="367"/>
      <c r="Q2" s="367"/>
      <c r="R2" s="367"/>
    </row>
    <row r="3" spans="1:18" ht="11.25" customHeight="1" thickBot="1">
      <c r="A3" s="194"/>
      <c r="B3" s="195"/>
      <c r="C3" s="197"/>
      <c r="D3" s="189"/>
      <c r="E3" s="2"/>
      <c r="F3" s="189"/>
      <c r="G3" s="2"/>
      <c r="H3" s="2"/>
      <c r="I3" s="189"/>
      <c r="J3" s="1"/>
      <c r="K3" s="1"/>
      <c r="L3" s="1"/>
      <c r="M3" s="1"/>
      <c r="N3" s="1"/>
      <c r="O3" s="196"/>
      <c r="P3" s="196"/>
      <c r="Q3" s="196"/>
      <c r="R3" s="196"/>
    </row>
    <row r="4" spans="1:18" ht="12" customHeight="1" thickBot="1" thickTop="1">
      <c r="A4" s="189"/>
      <c r="B4" s="178"/>
      <c r="C4" s="179"/>
      <c r="D4" s="180"/>
      <c r="E4" s="1"/>
      <c r="F4" s="180"/>
      <c r="G4" s="1"/>
      <c r="H4" s="1"/>
      <c r="I4" s="180"/>
      <c r="J4" s="1"/>
      <c r="K4" s="1"/>
      <c r="L4" s="1"/>
      <c r="M4" s="1"/>
      <c r="N4" s="1"/>
      <c r="O4" s="180"/>
      <c r="P4" s="180"/>
      <c r="Q4" s="180"/>
      <c r="R4" s="180"/>
    </row>
    <row r="5" spans="1:18" ht="20.25" customHeight="1" hidden="1" thickTop="1">
      <c r="A5" s="87"/>
      <c r="B5" s="88"/>
      <c r="C5" s="81"/>
      <c r="D5" s="2"/>
      <c r="E5" s="2" t="s">
        <v>29</v>
      </c>
      <c r="F5" s="2"/>
      <c r="G5" s="2"/>
      <c r="H5" s="2"/>
      <c r="I5" s="6"/>
      <c r="O5" s="70"/>
      <c r="P5" s="70"/>
      <c r="Q5" s="70"/>
      <c r="R5" s="70"/>
    </row>
    <row r="6" spans="1:18" ht="23.25" customHeight="1" hidden="1" thickBot="1" thickTop="1">
      <c r="A6" s="2"/>
      <c r="B6" s="88"/>
      <c r="C6" s="81"/>
      <c r="D6" s="2"/>
      <c r="E6" s="2"/>
      <c r="F6" s="2"/>
      <c r="G6" s="2"/>
      <c r="H6" s="2"/>
      <c r="I6" s="2"/>
      <c r="O6" s="2"/>
      <c r="P6" s="2"/>
      <c r="Q6" s="2"/>
      <c r="R6" s="2"/>
    </row>
    <row r="7" spans="1:18" ht="0.75" customHeight="1" hidden="1" thickBot="1">
      <c r="A7" s="87"/>
      <c r="B7" s="88"/>
      <c r="C7" s="81"/>
      <c r="D7" s="89"/>
      <c r="E7" s="2"/>
      <c r="F7" s="89"/>
      <c r="G7" s="2"/>
      <c r="H7" s="2"/>
      <c r="I7" s="6"/>
      <c r="O7" s="89"/>
      <c r="P7" s="89"/>
      <c r="Q7" s="89"/>
      <c r="R7" s="89"/>
    </row>
    <row r="8" spans="1:18" ht="34.5" thickTop="1">
      <c r="A8" s="200" t="s">
        <v>54</v>
      </c>
      <c r="B8" s="201"/>
      <c r="C8" s="202"/>
      <c r="D8" s="251" t="s">
        <v>38</v>
      </c>
      <c r="E8" s="252"/>
      <c r="F8" s="253" t="s">
        <v>39</v>
      </c>
      <c r="G8" s="254" t="s">
        <v>37</v>
      </c>
      <c r="H8" s="255"/>
      <c r="I8" s="205" t="s">
        <v>61</v>
      </c>
      <c r="J8" s="256"/>
      <c r="K8" s="256"/>
      <c r="L8" s="564" t="s">
        <v>366</v>
      </c>
      <c r="M8" s="564" t="s">
        <v>396</v>
      </c>
      <c r="N8" s="564" t="s">
        <v>364</v>
      </c>
      <c r="O8" s="564" t="s">
        <v>393</v>
      </c>
      <c r="P8" s="564" t="s">
        <v>365</v>
      </c>
      <c r="Q8" s="564" t="s">
        <v>394</v>
      </c>
      <c r="R8" s="564" t="s">
        <v>395</v>
      </c>
    </row>
    <row r="9" spans="1:18" ht="12" customHeight="1">
      <c r="A9" s="90"/>
      <c r="B9" s="91"/>
      <c r="C9" s="69"/>
      <c r="D9" s="92" t="s">
        <v>0</v>
      </c>
      <c r="E9" s="93"/>
      <c r="F9" s="94" t="s">
        <v>0</v>
      </c>
      <c r="G9" s="5" t="s">
        <v>0</v>
      </c>
      <c r="H9" s="90"/>
      <c r="I9" s="5" t="s">
        <v>0</v>
      </c>
      <c r="L9" s="163" t="s">
        <v>195</v>
      </c>
      <c r="M9" s="163" t="s">
        <v>195</v>
      </c>
      <c r="N9" s="163" t="s">
        <v>195</v>
      </c>
      <c r="O9" s="163" t="s">
        <v>195</v>
      </c>
      <c r="P9" s="163" t="s">
        <v>195</v>
      </c>
      <c r="Q9" s="163" t="s">
        <v>195</v>
      </c>
      <c r="R9" s="163" t="s">
        <v>195</v>
      </c>
    </row>
    <row r="10" spans="1:18" ht="12" customHeight="1">
      <c r="A10" s="330" t="s">
        <v>302</v>
      </c>
      <c r="B10" s="320"/>
      <c r="C10" s="321"/>
      <c r="D10" s="322">
        <f>SUM(D12:D108)</f>
        <v>8611.821</v>
      </c>
      <c r="E10" s="323">
        <f>SUM(E12:E107)</f>
        <v>4081.3495000000003</v>
      </c>
      <c r="F10" s="323">
        <f>SUM(F12:F108)</f>
        <v>8611.821</v>
      </c>
      <c r="G10" s="325" t="e">
        <f>+G11+G20+G33</f>
        <v>#REF!</v>
      </c>
      <c r="H10" s="331" t="e">
        <f>+H11+H20+H33</f>
        <v>#REF!</v>
      </c>
      <c r="I10" s="325" t="e">
        <f>+I11+I20+I33</f>
        <v>#REF!</v>
      </c>
      <c r="J10" s="328"/>
      <c r="K10" s="329"/>
      <c r="L10" s="497">
        <f aca="true" t="shared" si="0" ref="L10:R10">SUM(L11+L20+L33+L126)</f>
        <v>68529.46</v>
      </c>
      <c r="M10" s="497">
        <f t="shared" si="0"/>
        <v>71324.53000000001</v>
      </c>
      <c r="N10" s="325">
        <f t="shared" si="0"/>
        <v>88808</v>
      </c>
      <c r="O10" s="325">
        <f t="shared" si="0"/>
        <v>100521</v>
      </c>
      <c r="P10" s="325">
        <f t="shared" si="0"/>
        <v>92949</v>
      </c>
      <c r="Q10" s="325">
        <f t="shared" si="0"/>
        <v>80590</v>
      </c>
      <c r="R10" s="325">
        <f t="shared" si="0"/>
        <v>80585</v>
      </c>
    </row>
    <row r="11" spans="1:18" ht="12" customHeight="1">
      <c r="A11" s="95"/>
      <c r="B11" s="96">
        <v>610</v>
      </c>
      <c r="C11" s="97" t="s">
        <v>62</v>
      </c>
      <c r="D11" s="98"/>
      <c r="E11" s="101"/>
      <c r="F11" s="99"/>
      <c r="G11" s="7">
        <f>SUM(G12:G14)</f>
        <v>2727</v>
      </c>
      <c r="H11" s="160">
        <f>SUM(H12:H14)</f>
        <v>1.743079893079893</v>
      </c>
      <c r="I11" s="7">
        <f>SUM(I12:I14)</f>
        <v>4078</v>
      </c>
      <c r="K11" s="100"/>
      <c r="L11" s="517">
        <f aca="true" t="shared" si="1" ref="L11:R11">SUM(L15:L18)</f>
        <v>29483.99</v>
      </c>
      <c r="M11" s="517">
        <f t="shared" si="1"/>
        <v>34709.35</v>
      </c>
      <c r="N11" s="167">
        <f t="shared" si="1"/>
        <v>35189</v>
      </c>
      <c r="O11" s="167">
        <f t="shared" si="1"/>
        <v>35183</v>
      </c>
      <c r="P11" s="167">
        <f t="shared" si="1"/>
        <v>36683</v>
      </c>
      <c r="Q11" s="167">
        <f t="shared" si="1"/>
        <v>37183</v>
      </c>
      <c r="R11" s="112">
        <f t="shared" si="1"/>
        <v>37683</v>
      </c>
    </row>
    <row r="12" spans="1:18" ht="12" customHeight="1" hidden="1" outlineLevel="2">
      <c r="A12" s="102"/>
      <c r="B12" s="91">
        <v>611</v>
      </c>
      <c r="C12" s="69" t="s">
        <v>63</v>
      </c>
      <c r="D12" s="78">
        <v>2960</v>
      </c>
      <c r="E12" s="93"/>
      <c r="F12" s="103">
        <f>+D12</f>
        <v>2960</v>
      </c>
      <c r="G12" s="3">
        <v>2106</v>
      </c>
      <c r="H12" s="161">
        <f>+G12/D12</f>
        <v>0.7114864864864865</v>
      </c>
      <c r="I12" s="3">
        <f>+F12</f>
        <v>2960</v>
      </c>
      <c r="J12" s="104"/>
      <c r="K12" s="100"/>
      <c r="L12" s="491"/>
      <c r="M12" s="491"/>
      <c r="N12" s="168"/>
      <c r="O12" s="168"/>
      <c r="P12" s="168"/>
      <c r="Q12" s="168"/>
      <c r="R12" s="3"/>
    </row>
    <row r="13" spans="1:18" ht="12" customHeight="1" hidden="1" outlineLevel="2">
      <c r="A13" s="90"/>
      <c r="B13" s="91">
        <v>612</v>
      </c>
      <c r="C13" s="69" t="s">
        <v>64</v>
      </c>
      <c r="D13" s="78">
        <v>728</v>
      </c>
      <c r="E13" s="93"/>
      <c r="F13" s="103">
        <f>+D13</f>
        <v>728</v>
      </c>
      <c r="G13" s="3">
        <v>471</v>
      </c>
      <c r="H13" s="161">
        <f>+G13/D13</f>
        <v>0.646978021978022</v>
      </c>
      <c r="I13" s="3">
        <f>+F13</f>
        <v>728</v>
      </c>
      <c r="J13" s="104"/>
      <c r="K13" s="100"/>
      <c r="L13" s="491"/>
      <c r="M13" s="491"/>
      <c r="N13" s="168"/>
      <c r="O13" s="168"/>
      <c r="P13" s="168"/>
      <c r="Q13" s="168"/>
      <c r="R13" s="3"/>
    </row>
    <row r="14" spans="1:18" ht="12" customHeight="1" hidden="1" outlineLevel="2">
      <c r="A14" s="90"/>
      <c r="B14" s="68">
        <v>614</v>
      </c>
      <c r="C14" s="69" t="s">
        <v>27</v>
      </c>
      <c r="D14" s="78">
        <v>390</v>
      </c>
      <c r="E14" s="105">
        <f>SUM(D12:D14)</f>
        <v>4078</v>
      </c>
      <c r="F14" s="103">
        <f>+D14</f>
        <v>390</v>
      </c>
      <c r="G14" s="3">
        <v>150</v>
      </c>
      <c r="H14" s="161">
        <f>+G14/D14</f>
        <v>0.38461538461538464</v>
      </c>
      <c r="I14" s="3">
        <f>+F14</f>
        <v>390</v>
      </c>
      <c r="J14" s="104"/>
      <c r="K14" s="100"/>
      <c r="L14" s="491"/>
      <c r="M14" s="491"/>
      <c r="N14" s="168"/>
      <c r="O14" s="168"/>
      <c r="P14" s="168"/>
      <c r="Q14" s="168"/>
      <c r="R14" s="3"/>
    </row>
    <row r="15" spans="1:18" ht="12" customHeight="1" outlineLevel="2">
      <c r="A15" s="90"/>
      <c r="B15" s="68">
        <v>611</v>
      </c>
      <c r="C15" s="171" t="s">
        <v>62</v>
      </c>
      <c r="D15" s="98"/>
      <c r="E15" s="101"/>
      <c r="F15" s="99"/>
      <c r="G15" s="7">
        <f>SUM(G16:G18)</f>
        <v>0</v>
      </c>
      <c r="H15" s="160">
        <f>SUM(H16:H18)</f>
        <v>0</v>
      </c>
      <c r="I15" s="7">
        <f>SUM(I16:I18)</f>
        <v>0</v>
      </c>
      <c r="K15" s="100"/>
      <c r="L15" s="491">
        <v>29279.33</v>
      </c>
      <c r="M15" s="491">
        <v>34505.89</v>
      </c>
      <c r="N15" s="168">
        <v>35000</v>
      </c>
      <c r="O15" s="168">
        <v>35000</v>
      </c>
      <c r="P15" s="168">
        <v>36500</v>
      </c>
      <c r="Q15" s="168">
        <v>37000</v>
      </c>
      <c r="R15" s="3">
        <v>37500</v>
      </c>
    </row>
    <row r="16" spans="1:18" ht="12" customHeight="1" outlineLevel="2">
      <c r="A16" s="90"/>
      <c r="B16" s="68">
        <v>614</v>
      </c>
      <c r="C16" s="69" t="s">
        <v>321</v>
      </c>
      <c r="D16" s="105"/>
      <c r="E16" s="93"/>
      <c r="F16" s="105"/>
      <c r="G16" s="93"/>
      <c r="H16" s="123"/>
      <c r="I16" s="3"/>
      <c r="K16" s="100"/>
      <c r="L16" s="491">
        <v>121.28</v>
      </c>
      <c r="M16" s="491">
        <v>120</v>
      </c>
      <c r="N16" s="168">
        <v>100</v>
      </c>
      <c r="O16" s="168">
        <v>100</v>
      </c>
      <c r="P16" s="168">
        <v>100</v>
      </c>
      <c r="Q16" s="168">
        <v>100</v>
      </c>
      <c r="R16" s="3">
        <v>100</v>
      </c>
    </row>
    <row r="17" spans="1:18" ht="12" customHeight="1" outlineLevel="2">
      <c r="A17" s="90"/>
      <c r="B17" s="68">
        <v>614</v>
      </c>
      <c r="C17" s="69" t="s">
        <v>322</v>
      </c>
      <c r="D17" s="105"/>
      <c r="E17" s="93"/>
      <c r="F17" s="105"/>
      <c r="G17" s="93"/>
      <c r="H17" s="123"/>
      <c r="I17" s="3"/>
      <c r="K17" s="100"/>
      <c r="L17" s="491">
        <v>26.31</v>
      </c>
      <c r="M17" s="491">
        <v>26.35</v>
      </c>
      <c r="N17" s="168">
        <v>32</v>
      </c>
      <c r="O17" s="168">
        <v>26</v>
      </c>
      <c r="P17" s="168">
        <v>26</v>
      </c>
      <c r="Q17" s="168">
        <v>26</v>
      </c>
      <c r="R17" s="3">
        <v>26</v>
      </c>
    </row>
    <row r="18" spans="1:18" ht="12" customHeight="1" outlineLevel="2">
      <c r="A18" s="90"/>
      <c r="B18" s="68">
        <v>614</v>
      </c>
      <c r="C18" s="69" t="s">
        <v>323</v>
      </c>
      <c r="D18" s="105"/>
      <c r="E18" s="93"/>
      <c r="F18" s="105"/>
      <c r="G18" s="93"/>
      <c r="H18" s="123"/>
      <c r="I18" s="3"/>
      <c r="K18" s="100"/>
      <c r="L18" s="491">
        <v>57.07</v>
      </c>
      <c r="M18" s="491">
        <v>57.11</v>
      </c>
      <c r="N18" s="168">
        <v>57</v>
      </c>
      <c r="O18" s="168">
        <v>57</v>
      </c>
      <c r="P18" s="168">
        <v>57</v>
      </c>
      <c r="Q18" s="168">
        <v>57</v>
      </c>
      <c r="R18" s="3">
        <v>57</v>
      </c>
    </row>
    <row r="19" spans="1:18" ht="12" customHeight="1" outlineLevel="2">
      <c r="A19" s="90"/>
      <c r="B19" s="68"/>
      <c r="C19" s="69"/>
      <c r="D19" s="105"/>
      <c r="E19" s="93"/>
      <c r="F19" s="105"/>
      <c r="G19" s="93"/>
      <c r="H19" s="123"/>
      <c r="I19" s="3"/>
      <c r="K19" s="100"/>
      <c r="L19" s="491"/>
      <c r="M19" s="491"/>
      <c r="N19" s="168"/>
      <c r="O19" s="168"/>
      <c r="P19" s="168"/>
      <c r="Q19" s="168"/>
      <c r="R19" s="3"/>
    </row>
    <row r="20" spans="1:18" s="114" customFormat="1" ht="12" customHeight="1">
      <c r="A20" s="106"/>
      <c r="B20" s="107">
        <v>620</v>
      </c>
      <c r="C20" s="108" t="s">
        <v>43</v>
      </c>
      <c r="D20" s="109"/>
      <c r="E20" s="110"/>
      <c r="F20" s="111"/>
      <c r="G20" s="112">
        <f>SUM(G21:G30)</f>
        <v>958</v>
      </c>
      <c r="H20" s="162">
        <f>SUM(H21:H30)</f>
        <v>7.3455188754355</v>
      </c>
      <c r="I20" s="112">
        <f>SUM(I21:I30)</f>
        <v>1544.196</v>
      </c>
      <c r="J20" s="113"/>
      <c r="K20" s="100"/>
      <c r="L20" s="517">
        <f aca="true" t="shared" si="2" ref="L20:R20">SUM(L31)</f>
        <v>10645.6</v>
      </c>
      <c r="M20" s="517">
        <f t="shared" si="2"/>
        <v>12299.98</v>
      </c>
      <c r="N20" s="167">
        <f t="shared" si="2"/>
        <v>12300</v>
      </c>
      <c r="O20" s="167">
        <f t="shared" si="2"/>
        <v>12300</v>
      </c>
      <c r="P20" s="167">
        <f t="shared" si="2"/>
        <v>12800</v>
      </c>
      <c r="Q20" s="167">
        <f t="shared" si="2"/>
        <v>13000</v>
      </c>
      <c r="R20" s="112">
        <f t="shared" si="2"/>
        <v>13200</v>
      </c>
    </row>
    <row r="21" spans="1:18" ht="12" customHeight="1" hidden="1" outlineLevel="1">
      <c r="A21" s="90"/>
      <c r="B21" s="91">
        <v>621</v>
      </c>
      <c r="C21" s="69" t="s">
        <v>65</v>
      </c>
      <c r="D21" s="78">
        <v>10</v>
      </c>
      <c r="E21" s="105"/>
      <c r="F21" s="103">
        <f aca="true" t="shared" si="3" ref="F21:F29">+D21</f>
        <v>10</v>
      </c>
      <c r="G21" s="3">
        <v>20</v>
      </c>
      <c r="H21" s="161">
        <f aca="true" t="shared" si="4" ref="H21:H29">+G21/D21</f>
        <v>2</v>
      </c>
      <c r="I21" s="3">
        <v>20</v>
      </c>
      <c r="K21" s="100"/>
      <c r="L21" s="516"/>
      <c r="M21" s="516"/>
      <c r="N21" s="168"/>
      <c r="O21" s="168"/>
      <c r="P21" s="168"/>
      <c r="Q21" s="168"/>
      <c r="R21" s="168"/>
    </row>
    <row r="22" spans="1:18" ht="12" customHeight="1" hidden="1" outlineLevel="1">
      <c r="A22" s="90"/>
      <c r="B22" s="91">
        <v>623</v>
      </c>
      <c r="C22" s="69" t="s">
        <v>66</v>
      </c>
      <c r="D22" s="78">
        <f>+E14*E22</f>
        <v>407.8</v>
      </c>
      <c r="E22" s="115">
        <v>0.1</v>
      </c>
      <c r="F22" s="103">
        <f t="shared" si="3"/>
        <v>407.8</v>
      </c>
      <c r="G22" s="5">
        <v>230</v>
      </c>
      <c r="H22" s="161">
        <f t="shared" si="4"/>
        <v>0.5640019617459539</v>
      </c>
      <c r="I22" s="3">
        <f>+F22</f>
        <v>407.8</v>
      </c>
      <c r="K22" s="115"/>
      <c r="L22" s="516"/>
      <c r="M22" s="516"/>
      <c r="N22" s="168"/>
      <c r="O22" s="168"/>
      <c r="P22" s="168"/>
      <c r="Q22" s="168"/>
      <c r="R22" s="168"/>
    </row>
    <row r="23" spans="1:18" ht="12" customHeight="1" hidden="1" outlineLevel="1">
      <c r="A23" s="90"/>
      <c r="B23" s="91" t="s">
        <v>5</v>
      </c>
      <c r="C23" s="69" t="s">
        <v>67</v>
      </c>
      <c r="D23" s="78">
        <f>+E14*E23</f>
        <v>57.092</v>
      </c>
      <c r="E23" s="116">
        <v>0.014</v>
      </c>
      <c r="F23" s="103">
        <f t="shared" si="3"/>
        <v>57.092</v>
      </c>
      <c r="G23" s="5">
        <v>30</v>
      </c>
      <c r="H23" s="161">
        <f t="shared" si="4"/>
        <v>0.5254676662229384</v>
      </c>
      <c r="I23" s="3">
        <f>+F23</f>
        <v>57.092</v>
      </c>
      <c r="K23" s="116"/>
      <c r="L23" s="516"/>
      <c r="M23" s="516"/>
      <c r="N23" s="168"/>
      <c r="O23" s="168"/>
      <c r="P23" s="168"/>
      <c r="Q23" s="168"/>
      <c r="R23" s="168"/>
    </row>
    <row r="24" spans="1:18" ht="12" customHeight="1" hidden="1" outlineLevel="1">
      <c r="A24" s="90"/>
      <c r="B24" s="91" t="s">
        <v>6</v>
      </c>
      <c r="C24" s="69" t="s">
        <v>68</v>
      </c>
      <c r="D24" s="78">
        <f>+E14*E24</f>
        <v>652.48</v>
      </c>
      <c r="E24" s="115">
        <v>0.16</v>
      </c>
      <c r="F24" s="103">
        <f t="shared" si="3"/>
        <v>652.48</v>
      </c>
      <c r="G24" s="5">
        <v>360</v>
      </c>
      <c r="H24" s="161">
        <f t="shared" si="4"/>
        <v>0.5517410495340853</v>
      </c>
      <c r="I24" s="3">
        <v>580</v>
      </c>
      <c r="K24" s="115"/>
      <c r="L24" s="516"/>
      <c r="M24" s="516"/>
      <c r="N24" s="168"/>
      <c r="O24" s="168"/>
      <c r="P24" s="168"/>
      <c r="Q24" s="168"/>
      <c r="R24" s="168"/>
    </row>
    <row r="25" spans="1:18" ht="12" customHeight="1" hidden="1" outlineLevel="1">
      <c r="A25" s="90"/>
      <c r="B25" s="68">
        <v>625003</v>
      </c>
      <c r="C25" s="69" t="s">
        <v>69</v>
      </c>
      <c r="D25" s="78">
        <f>+E14*E25</f>
        <v>32.624</v>
      </c>
      <c r="E25" s="115">
        <v>0.008</v>
      </c>
      <c r="F25" s="103">
        <f t="shared" si="3"/>
        <v>32.624</v>
      </c>
      <c r="G25" s="5">
        <v>28</v>
      </c>
      <c r="H25" s="161">
        <f t="shared" si="4"/>
        <v>0.8582638548307994</v>
      </c>
      <c r="I25" s="3">
        <f>+F25</f>
        <v>32.624</v>
      </c>
      <c r="K25" s="115"/>
      <c r="L25" s="516"/>
      <c r="M25" s="516"/>
      <c r="N25" s="168"/>
      <c r="O25" s="168"/>
      <c r="P25" s="168"/>
      <c r="Q25" s="168"/>
      <c r="R25" s="168"/>
    </row>
    <row r="26" spans="1:18" ht="12" customHeight="1" hidden="1" outlineLevel="1">
      <c r="A26" s="90"/>
      <c r="B26" s="68">
        <v>625004</v>
      </c>
      <c r="C26" s="69" t="s">
        <v>70</v>
      </c>
      <c r="D26" s="78">
        <f>+E14*E26</f>
        <v>122.33999999999999</v>
      </c>
      <c r="E26" s="115">
        <v>0.03</v>
      </c>
      <c r="F26" s="103">
        <f t="shared" si="3"/>
        <v>122.33999999999999</v>
      </c>
      <c r="G26" s="5">
        <v>76</v>
      </c>
      <c r="H26" s="161">
        <f t="shared" si="4"/>
        <v>0.6212195520680073</v>
      </c>
      <c r="I26" s="3">
        <f>+F26</f>
        <v>122.33999999999999</v>
      </c>
      <c r="K26" s="115"/>
      <c r="L26" s="516"/>
      <c r="M26" s="516"/>
      <c r="N26" s="168"/>
      <c r="O26" s="168"/>
      <c r="P26" s="168"/>
      <c r="Q26" s="168"/>
      <c r="R26" s="168"/>
    </row>
    <row r="27" spans="1:18" ht="12" customHeight="1" hidden="1" outlineLevel="1">
      <c r="A27" s="90"/>
      <c r="B27" s="68">
        <v>625005</v>
      </c>
      <c r="C27" s="69" t="s">
        <v>71</v>
      </c>
      <c r="D27" s="78">
        <v>42</v>
      </c>
      <c r="E27" s="115"/>
      <c r="F27" s="103">
        <f t="shared" si="3"/>
        <v>42</v>
      </c>
      <c r="G27" s="5">
        <v>25</v>
      </c>
      <c r="H27" s="161">
        <f t="shared" si="4"/>
        <v>0.5952380952380952</v>
      </c>
      <c r="I27" s="3">
        <f>+F27</f>
        <v>42</v>
      </c>
      <c r="K27" s="115"/>
      <c r="L27" s="516"/>
      <c r="M27" s="516"/>
      <c r="N27" s="168"/>
      <c r="O27" s="168"/>
      <c r="P27" s="168"/>
      <c r="Q27" s="168"/>
      <c r="R27" s="168"/>
    </row>
    <row r="28" spans="1:18" ht="12" customHeight="1" hidden="1" outlineLevel="1">
      <c r="A28" s="90"/>
      <c r="B28" s="68">
        <v>625007</v>
      </c>
      <c r="C28" s="69" t="s">
        <v>72</v>
      </c>
      <c r="D28" s="78">
        <f>+E14*E28</f>
        <v>112.145</v>
      </c>
      <c r="E28" s="116">
        <v>0.0275</v>
      </c>
      <c r="F28" s="103">
        <f t="shared" si="3"/>
        <v>112.145</v>
      </c>
      <c r="G28" s="5">
        <v>114</v>
      </c>
      <c r="H28" s="161">
        <f t="shared" si="4"/>
        <v>1.0165410852021937</v>
      </c>
      <c r="I28" s="3">
        <v>160</v>
      </c>
      <c r="K28" s="116"/>
      <c r="L28" s="516"/>
      <c r="M28" s="516"/>
      <c r="N28" s="168"/>
      <c r="O28" s="168"/>
      <c r="P28" s="168"/>
      <c r="Q28" s="168"/>
      <c r="R28" s="168"/>
    </row>
    <row r="29" spans="1:18" ht="12" customHeight="1" hidden="1" outlineLevel="1">
      <c r="A29" s="90"/>
      <c r="B29" s="91">
        <v>627</v>
      </c>
      <c r="C29" s="69" t="s">
        <v>73</v>
      </c>
      <c r="D29" s="78">
        <f>+E33*E14/100</f>
        <v>122.34</v>
      </c>
      <c r="E29" s="115">
        <v>0.01</v>
      </c>
      <c r="F29" s="103">
        <f t="shared" si="3"/>
        <v>122.34</v>
      </c>
      <c r="G29" s="5">
        <v>75</v>
      </c>
      <c r="H29" s="161">
        <f t="shared" si="4"/>
        <v>0.6130456105934281</v>
      </c>
      <c r="I29" s="3">
        <f>+F29</f>
        <v>122.34</v>
      </c>
      <c r="K29" s="115"/>
      <c r="L29" s="516"/>
      <c r="M29" s="516"/>
      <c r="N29" s="168"/>
      <c r="O29" s="168"/>
      <c r="P29" s="168"/>
      <c r="Q29" s="168"/>
      <c r="R29" s="168"/>
    </row>
    <row r="30" spans="1:18" ht="12" customHeight="1" hidden="1" outlineLevel="1">
      <c r="A30" s="90"/>
      <c r="B30" s="91"/>
      <c r="C30" s="69"/>
      <c r="D30" s="78"/>
      <c r="E30" s="115"/>
      <c r="F30" s="103"/>
      <c r="G30" s="5"/>
      <c r="H30" s="161"/>
      <c r="I30" s="3"/>
      <c r="K30" s="100"/>
      <c r="L30" s="516"/>
      <c r="M30" s="516"/>
      <c r="N30" s="168"/>
      <c r="O30" s="168"/>
      <c r="P30" s="168"/>
      <c r="Q30" s="168"/>
      <c r="R30" s="168"/>
    </row>
    <row r="31" spans="1:18" ht="12" customHeight="1" outlineLevel="1">
      <c r="A31" s="90"/>
      <c r="B31" s="91">
        <v>62</v>
      </c>
      <c r="C31" s="69" t="s">
        <v>325</v>
      </c>
      <c r="D31" s="78"/>
      <c r="E31" s="115"/>
      <c r="F31" s="103"/>
      <c r="G31" s="5"/>
      <c r="H31" s="161"/>
      <c r="I31" s="3"/>
      <c r="K31" s="100"/>
      <c r="L31" s="516">
        <v>10645.6</v>
      </c>
      <c r="M31" s="516">
        <v>12299.98</v>
      </c>
      <c r="N31" s="168">
        <v>12300</v>
      </c>
      <c r="O31" s="168">
        <v>12300</v>
      </c>
      <c r="P31" s="168">
        <v>12800</v>
      </c>
      <c r="Q31" s="168">
        <v>13000</v>
      </c>
      <c r="R31" s="168">
        <v>13200</v>
      </c>
    </row>
    <row r="32" spans="1:18" ht="12" customHeight="1" outlineLevel="1">
      <c r="A32" s="90"/>
      <c r="B32" s="91"/>
      <c r="C32" s="69"/>
      <c r="D32" s="78"/>
      <c r="E32" s="115"/>
      <c r="F32" s="103"/>
      <c r="G32" s="5"/>
      <c r="H32" s="161"/>
      <c r="I32" s="3"/>
      <c r="K32" s="100"/>
      <c r="L32" s="516"/>
      <c r="M32" s="516"/>
      <c r="N32" s="168"/>
      <c r="O32" s="168"/>
      <c r="P32" s="168"/>
      <c r="Q32" s="168"/>
      <c r="R32" s="168"/>
    </row>
    <row r="33" spans="1:18" s="119" customFormat="1" ht="12" customHeight="1">
      <c r="A33" s="117"/>
      <c r="B33" s="96">
        <v>630</v>
      </c>
      <c r="C33" s="118" t="s">
        <v>7</v>
      </c>
      <c r="D33" s="109"/>
      <c r="E33" s="118">
        <v>3</v>
      </c>
      <c r="F33" s="111"/>
      <c r="G33" s="112" t="e">
        <f>+G34+G36+G49+G70+G82+G91+#REF!</f>
        <v>#REF!</v>
      </c>
      <c r="H33" s="162" t="e">
        <f>+H34+H36+H49+H70+H82+H91+#REF!</f>
        <v>#REF!</v>
      </c>
      <c r="I33" s="112" t="e">
        <f>+I34+I36+I49+I70+I82+I91+#REF!</f>
        <v>#REF!</v>
      </c>
      <c r="K33" s="100"/>
      <c r="L33" s="517">
        <f aca="true" t="shared" si="5" ref="L33:R33">SUM(L34:L125)</f>
        <v>27941.980000000003</v>
      </c>
      <c r="M33" s="517">
        <f t="shared" si="5"/>
        <v>22502.4</v>
      </c>
      <c r="N33" s="112">
        <f t="shared" si="5"/>
        <v>39237</v>
      </c>
      <c r="O33" s="167">
        <f t="shared" si="5"/>
        <v>51071</v>
      </c>
      <c r="P33" s="112">
        <f t="shared" si="5"/>
        <v>41546</v>
      </c>
      <c r="Q33" s="112">
        <f t="shared" si="5"/>
        <v>28790</v>
      </c>
      <c r="R33" s="112">
        <f t="shared" si="5"/>
        <v>28085</v>
      </c>
    </row>
    <row r="34" spans="1:18" s="119" customFormat="1" ht="12" customHeight="1">
      <c r="A34" s="176" t="s">
        <v>53</v>
      </c>
      <c r="B34" s="68">
        <v>631001</v>
      </c>
      <c r="C34" s="408" t="s">
        <v>40</v>
      </c>
      <c r="D34" s="109"/>
      <c r="E34" s="118"/>
      <c r="F34" s="111"/>
      <c r="G34" s="112">
        <f>+G35</f>
        <v>78</v>
      </c>
      <c r="H34" s="162">
        <f>+H35</f>
        <v>1.1304347826086956</v>
      </c>
      <c r="I34" s="112">
        <f>+I35</f>
        <v>120</v>
      </c>
      <c r="K34" s="100"/>
      <c r="L34" s="491">
        <v>1147.21</v>
      </c>
      <c r="M34" s="491">
        <v>1554.2</v>
      </c>
      <c r="N34" s="3">
        <v>1600</v>
      </c>
      <c r="O34" s="168">
        <v>1600</v>
      </c>
      <c r="P34" s="3">
        <v>1600</v>
      </c>
      <c r="Q34" s="3">
        <v>1600</v>
      </c>
      <c r="R34" s="3">
        <v>1600</v>
      </c>
    </row>
    <row r="35" spans="1:18" ht="12" customHeight="1" hidden="1" outlineLevel="1">
      <c r="A35" s="90"/>
      <c r="B35" s="173" t="s">
        <v>8</v>
      </c>
      <c r="C35" s="171" t="s">
        <v>74</v>
      </c>
      <c r="D35" s="78">
        <v>69</v>
      </c>
      <c r="E35" s="93"/>
      <c r="F35" s="103">
        <f>+D35</f>
        <v>69</v>
      </c>
      <c r="G35" s="5">
        <v>78</v>
      </c>
      <c r="H35" s="161">
        <f>+G35/D35</f>
        <v>1.1304347826086956</v>
      </c>
      <c r="I35" s="3">
        <v>120</v>
      </c>
      <c r="K35" s="100"/>
      <c r="L35" s="491"/>
      <c r="M35" s="491"/>
      <c r="N35" s="3"/>
      <c r="O35" s="168"/>
      <c r="P35" s="3"/>
      <c r="Q35" s="3"/>
      <c r="R35" s="3"/>
    </row>
    <row r="36" spans="1:18" s="119" customFormat="1" ht="12" customHeight="1" collapsed="1">
      <c r="A36" s="117"/>
      <c r="B36" s="68">
        <v>632001</v>
      </c>
      <c r="C36" s="171" t="s">
        <v>194</v>
      </c>
      <c r="D36" s="109"/>
      <c r="E36" s="118"/>
      <c r="F36" s="111"/>
      <c r="G36" s="112">
        <f>SUM(G37:G40)</f>
        <v>599</v>
      </c>
      <c r="H36" s="162">
        <f>SUM(H37:H40)</f>
        <v>1.8345</v>
      </c>
      <c r="I36" s="112">
        <f>SUM(I37:I40)</f>
        <v>770</v>
      </c>
      <c r="K36" s="100"/>
      <c r="L36" s="491">
        <v>892.06</v>
      </c>
      <c r="M36" s="491">
        <v>653.27</v>
      </c>
      <c r="N36" s="3">
        <v>700</v>
      </c>
      <c r="O36" s="168">
        <v>600</v>
      </c>
      <c r="P36" s="3">
        <v>600</v>
      </c>
      <c r="Q36" s="3">
        <v>600</v>
      </c>
      <c r="R36" s="3">
        <v>600</v>
      </c>
    </row>
    <row r="37" spans="1:18" ht="12" customHeight="1" hidden="1" outlineLevel="1">
      <c r="A37" s="90"/>
      <c r="B37" s="174">
        <v>632001</v>
      </c>
      <c r="C37" s="171" t="s">
        <v>75</v>
      </c>
      <c r="D37" s="78">
        <v>80</v>
      </c>
      <c r="E37" s="93"/>
      <c r="F37" s="103">
        <f>+D37</f>
        <v>80</v>
      </c>
      <c r="G37" s="5">
        <v>9</v>
      </c>
      <c r="H37" s="161">
        <f>+G37/D37</f>
        <v>0.1125</v>
      </c>
      <c r="I37" s="3">
        <v>50</v>
      </c>
      <c r="K37" s="100"/>
      <c r="L37" s="516"/>
      <c r="M37" s="516"/>
      <c r="N37" s="168"/>
      <c r="O37" s="168"/>
      <c r="P37" s="168"/>
      <c r="Q37" s="168"/>
      <c r="R37" s="168"/>
    </row>
    <row r="38" spans="1:18" ht="12" customHeight="1" hidden="1" outlineLevel="1">
      <c r="A38" s="90"/>
      <c r="B38" s="174" t="s">
        <v>25</v>
      </c>
      <c r="C38" s="171" t="s">
        <v>75</v>
      </c>
      <c r="D38" s="78">
        <v>250</v>
      </c>
      <c r="E38" s="93"/>
      <c r="F38" s="103">
        <f>+D38</f>
        <v>250</v>
      </c>
      <c r="G38" s="5">
        <v>143</v>
      </c>
      <c r="H38" s="161">
        <f>+G38/D38</f>
        <v>0.572</v>
      </c>
      <c r="I38" s="3">
        <v>150</v>
      </c>
      <c r="K38" s="100"/>
      <c r="L38" s="516"/>
      <c r="M38" s="516"/>
      <c r="N38" s="168"/>
      <c r="O38" s="168"/>
      <c r="P38" s="168"/>
      <c r="Q38" s="168"/>
      <c r="R38" s="168"/>
    </row>
    <row r="39" spans="1:18" ht="12" customHeight="1" hidden="1" outlineLevel="1">
      <c r="A39" s="90"/>
      <c r="B39" s="174">
        <v>632002</v>
      </c>
      <c r="C39" s="171" t="s">
        <v>76</v>
      </c>
      <c r="D39" s="78">
        <v>20</v>
      </c>
      <c r="E39" s="93"/>
      <c r="F39" s="103">
        <f>+D39</f>
        <v>20</v>
      </c>
      <c r="G39" s="5">
        <v>7</v>
      </c>
      <c r="H39" s="161">
        <f>+G39/D39</f>
        <v>0.35</v>
      </c>
      <c r="I39" s="3">
        <v>20</v>
      </c>
      <c r="K39" s="100"/>
      <c r="L39" s="516"/>
      <c r="M39" s="516"/>
      <c r="N39" s="168"/>
      <c r="O39" s="168"/>
      <c r="P39" s="168"/>
      <c r="Q39" s="168"/>
      <c r="R39" s="168"/>
    </row>
    <row r="40" spans="1:18" ht="11.25" hidden="1" outlineLevel="1">
      <c r="A40" s="90"/>
      <c r="B40" s="174">
        <v>632003</v>
      </c>
      <c r="C40" s="171" t="s">
        <v>77</v>
      </c>
      <c r="D40" s="78">
        <v>550</v>
      </c>
      <c r="E40" s="93"/>
      <c r="F40" s="103">
        <f>+D40</f>
        <v>550</v>
      </c>
      <c r="G40" s="5">
        <v>440</v>
      </c>
      <c r="H40" s="161">
        <f>+G40/D40</f>
        <v>0.8</v>
      </c>
      <c r="I40" s="3">
        <v>550</v>
      </c>
      <c r="K40" s="100"/>
      <c r="L40" s="516"/>
      <c r="M40" s="516"/>
      <c r="N40" s="168"/>
      <c r="O40" s="168"/>
      <c r="P40" s="168"/>
      <c r="Q40" s="168"/>
      <c r="R40" s="168"/>
    </row>
    <row r="41" spans="1:18" ht="11.25" outlineLevel="1">
      <c r="A41" s="90"/>
      <c r="B41" s="174">
        <v>632001</v>
      </c>
      <c r="C41" s="171" t="s">
        <v>353</v>
      </c>
      <c r="D41" s="78"/>
      <c r="E41" s="93"/>
      <c r="F41" s="103"/>
      <c r="G41" s="5"/>
      <c r="H41" s="161"/>
      <c r="I41" s="3"/>
      <c r="K41" s="100"/>
      <c r="L41" s="516">
        <v>1894.42</v>
      </c>
      <c r="M41" s="516">
        <v>1325.31</v>
      </c>
      <c r="N41" s="168">
        <v>1500</v>
      </c>
      <c r="O41" s="168">
        <v>1530</v>
      </c>
      <c r="P41" s="168">
        <v>1530</v>
      </c>
      <c r="Q41" s="168">
        <v>1530</v>
      </c>
      <c r="R41" s="168">
        <v>1530</v>
      </c>
    </row>
    <row r="42" spans="1:19" ht="11.25" outlineLevel="1">
      <c r="A42" s="90"/>
      <c r="B42" s="174">
        <v>632002</v>
      </c>
      <c r="C42" s="171" t="s">
        <v>158</v>
      </c>
      <c r="D42" s="78"/>
      <c r="E42" s="93"/>
      <c r="F42" s="103"/>
      <c r="G42" s="5"/>
      <c r="H42" s="161"/>
      <c r="I42" s="3"/>
      <c r="K42" s="100"/>
      <c r="L42" s="516">
        <v>21.31</v>
      </c>
      <c r="M42" s="516">
        <v>114.55</v>
      </c>
      <c r="N42" s="168">
        <v>50</v>
      </c>
      <c r="O42" s="168">
        <v>100</v>
      </c>
      <c r="P42" s="168">
        <v>100</v>
      </c>
      <c r="Q42" s="168">
        <v>110</v>
      </c>
      <c r="R42" s="168">
        <v>110</v>
      </c>
      <c r="S42" s="422"/>
    </row>
    <row r="43" spans="1:18" ht="11.25" outlineLevel="1">
      <c r="A43" s="90"/>
      <c r="B43" s="174">
        <v>632003</v>
      </c>
      <c r="C43" s="171" t="s">
        <v>159</v>
      </c>
      <c r="D43" s="78"/>
      <c r="E43" s="93"/>
      <c r="F43" s="103"/>
      <c r="G43" s="5"/>
      <c r="H43" s="161"/>
      <c r="I43" s="3"/>
      <c r="K43" s="100"/>
      <c r="L43" s="516">
        <v>641.92</v>
      </c>
      <c r="M43" s="516">
        <v>628.75</v>
      </c>
      <c r="N43" s="168">
        <v>650</v>
      </c>
      <c r="O43" s="168">
        <v>680</v>
      </c>
      <c r="P43" s="168">
        <v>700</v>
      </c>
      <c r="Q43" s="168">
        <v>650</v>
      </c>
      <c r="R43" s="168">
        <v>600</v>
      </c>
    </row>
    <row r="44" spans="1:18" ht="11.25" outlineLevel="1">
      <c r="A44" s="90"/>
      <c r="B44" s="174">
        <v>632003</v>
      </c>
      <c r="C44" s="171" t="s">
        <v>160</v>
      </c>
      <c r="D44" s="78"/>
      <c r="E44" s="93"/>
      <c r="F44" s="103"/>
      <c r="G44" s="5"/>
      <c r="H44" s="161"/>
      <c r="I44" s="3"/>
      <c r="K44" s="100"/>
      <c r="L44" s="516">
        <v>343.9</v>
      </c>
      <c r="M44" s="516">
        <v>240</v>
      </c>
      <c r="N44" s="168">
        <v>240</v>
      </c>
      <c r="O44" s="168">
        <v>240</v>
      </c>
      <c r="P44" s="168">
        <v>240</v>
      </c>
      <c r="Q44" s="168">
        <v>240</v>
      </c>
      <c r="R44" s="168">
        <v>240</v>
      </c>
    </row>
    <row r="45" spans="1:18" ht="11.25" outlineLevel="1">
      <c r="A45" s="90"/>
      <c r="B45" s="174">
        <v>632003</v>
      </c>
      <c r="C45" s="171" t="s">
        <v>161</v>
      </c>
      <c r="D45" s="78"/>
      <c r="E45" s="93"/>
      <c r="F45" s="103"/>
      <c r="G45" s="5"/>
      <c r="H45" s="161"/>
      <c r="I45" s="3"/>
      <c r="K45" s="100"/>
      <c r="L45" s="516">
        <v>405.6</v>
      </c>
      <c r="M45" s="516">
        <v>458.15</v>
      </c>
      <c r="N45" s="168">
        <v>430</v>
      </c>
      <c r="O45" s="168">
        <v>430</v>
      </c>
      <c r="P45" s="168">
        <v>430</v>
      </c>
      <c r="Q45" s="168">
        <v>420</v>
      </c>
      <c r="R45" s="168">
        <v>420</v>
      </c>
    </row>
    <row r="46" spans="1:19" ht="11.25" outlineLevel="1">
      <c r="A46" s="90"/>
      <c r="B46" s="174">
        <v>633001</v>
      </c>
      <c r="C46" s="171" t="s">
        <v>386</v>
      </c>
      <c r="D46" s="78"/>
      <c r="E46" s="93"/>
      <c r="F46" s="103"/>
      <c r="G46" s="5"/>
      <c r="H46" s="161"/>
      <c r="I46" s="3"/>
      <c r="K46" s="100"/>
      <c r="L46" s="516">
        <v>600</v>
      </c>
      <c r="M46" s="516"/>
      <c r="N46" s="168">
        <v>500</v>
      </c>
      <c r="O46" s="168">
        <v>500</v>
      </c>
      <c r="P46" s="168">
        <v>500</v>
      </c>
      <c r="Q46" s="168">
        <v>0</v>
      </c>
      <c r="R46" s="168">
        <v>0</v>
      </c>
      <c r="S46" s="589"/>
    </row>
    <row r="47" spans="1:19" ht="11.25" outlineLevel="1">
      <c r="A47" s="90"/>
      <c r="B47" s="174">
        <v>633002</v>
      </c>
      <c r="C47" s="171" t="s">
        <v>79</v>
      </c>
      <c r="D47" s="78"/>
      <c r="E47" s="93"/>
      <c r="F47" s="103"/>
      <c r="G47" s="5"/>
      <c r="H47" s="161"/>
      <c r="I47" s="3"/>
      <c r="K47" s="100"/>
      <c r="L47" s="516">
        <v>0</v>
      </c>
      <c r="M47" s="516">
        <v>417</v>
      </c>
      <c r="N47" s="168">
        <v>0</v>
      </c>
      <c r="O47" s="168">
        <v>0</v>
      </c>
      <c r="P47" s="168">
        <v>500</v>
      </c>
      <c r="Q47" s="168">
        <v>0</v>
      </c>
      <c r="R47" s="168">
        <v>0</v>
      </c>
      <c r="S47" s="589"/>
    </row>
    <row r="48" spans="1:19" ht="11.25" outlineLevel="1">
      <c r="A48" s="90"/>
      <c r="B48" s="174">
        <v>633004</v>
      </c>
      <c r="C48" s="171" t="s">
        <v>387</v>
      </c>
      <c r="D48" s="78"/>
      <c r="E48" s="93"/>
      <c r="F48" s="103"/>
      <c r="G48" s="5"/>
      <c r="H48" s="161"/>
      <c r="I48" s="3"/>
      <c r="K48" s="100"/>
      <c r="L48" s="516">
        <v>651</v>
      </c>
      <c r="M48" s="516">
        <v>91.8</v>
      </c>
      <c r="N48" s="168">
        <v>1100</v>
      </c>
      <c r="O48" s="168">
        <v>500</v>
      </c>
      <c r="P48" s="168">
        <v>500</v>
      </c>
      <c r="Q48" s="168">
        <v>300</v>
      </c>
      <c r="R48" s="168">
        <v>500</v>
      </c>
      <c r="S48" s="589"/>
    </row>
    <row r="49" spans="1:18" s="119" customFormat="1" ht="12" customHeight="1">
      <c r="A49" s="117"/>
      <c r="B49" s="68">
        <v>633006</v>
      </c>
      <c r="C49" s="408" t="s">
        <v>388</v>
      </c>
      <c r="D49" s="109"/>
      <c r="E49" s="118"/>
      <c r="F49" s="111">
        <f aca="true" t="shared" si="6" ref="F49:F55">+D49</f>
        <v>0</v>
      </c>
      <c r="G49" s="112">
        <f>SUM(G50:G55)</f>
        <v>472</v>
      </c>
      <c r="H49" s="162">
        <f>SUM(H50:H55)</f>
        <v>4.4903571428571425</v>
      </c>
      <c r="I49" s="112">
        <f>SUM(I50:I55)</f>
        <v>830</v>
      </c>
      <c r="J49" s="150"/>
      <c r="K49" s="100"/>
      <c r="L49" s="491">
        <v>637.79</v>
      </c>
      <c r="M49" s="491">
        <v>559.25</v>
      </c>
      <c r="N49" s="168">
        <v>700</v>
      </c>
      <c r="O49" s="168">
        <v>400</v>
      </c>
      <c r="P49" s="168">
        <v>400</v>
      </c>
      <c r="Q49" s="168">
        <v>420</v>
      </c>
      <c r="R49" s="3">
        <v>420</v>
      </c>
    </row>
    <row r="50" spans="1:18" ht="12" customHeight="1" hidden="1" outlineLevel="1">
      <c r="A50" s="90"/>
      <c r="B50" s="174">
        <v>633001</v>
      </c>
      <c r="C50" s="171" t="s">
        <v>78</v>
      </c>
      <c r="D50" s="78">
        <v>250</v>
      </c>
      <c r="E50" s="93"/>
      <c r="F50" s="103">
        <f t="shared" si="6"/>
        <v>250</v>
      </c>
      <c r="G50" s="5">
        <v>90</v>
      </c>
      <c r="H50" s="161">
        <f aca="true" t="shared" si="7" ref="H50:H55">+G50/D50</f>
        <v>0.36</v>
      </c>
      <c r="I50" s="3">
        <v>250</v>
      </c>
      <c r="K50" s="100"/>
      <c r="L50" s="491"/>
      <c r="M50" s="491"/>
      <c r="N50" s="3"/>
      <c r="O50" s="168"/>
      <c r="P50" s="3"/>
      <c r="Q50" s="3"/>
      <c r="R50" s="3"/>
    </row>
    <row r="51" spans="1:18" ht="12" customHeight="1" hidden="1" outlineLevel="1">
      <c r="A51" s="90"/>
      <c r="B51" s="173" t="s">
        <v>9</v>
      </c>
      <c r="C51" s="171" t="s">
        <v>79</v>
      </c>
      <c r="D51" s="78">
        <v>150</v>
      </c>
      <c r="E51" s="93"/>
      <c r="F51" s="103">
        <f t="shared" si="6"/>
        <v>150</v>
      </c>
      <c r="G51" s="5">
        <v>138</v>
      </c>
      <c r="H51" s="161">
        <f t="shared" si="7"/>
        <v>0.92</v>
      </c>
      <c r="I51" s="3">
        <v>240</v>
      </c>
      <c r="K51" s="100"/>
      <c r="L51" s="491"/>
      <c r="M51" s="491"/>
      <c r="N51" s="3"/>
      <c r="O51" s="168"/>
      <c r="P51" s="3"/>
      <c r="Q51" s="3"/>
      <c r="R51" s="3"/>
    </row>
    <row r="52" spans="1:18" ht="12" customHeight="1" hidden="1" outlineLevel="1">
      <c r="A52" s="90"/>
      <c r="B52" s="174">
        <v>633006</v>
      </c>
      <c r="C52" s="171" t="s">
        <v>80</v>
      </c>
      <c r="D52" s="78">
        <v>80</v>
      </c>
      <c r="E52" s="93"/>
      <c r="F52" s="103">
        <f t="shared" si="6"/>
        <v>80</v>
      </c>
      <c r="G52" s="5">
        <v>81</v>
      </c>
      <c r="H52" s="161">
        <f t="shared" si="7"/>
        <v>1.0125</v>
      </c>
      <c r="I52" s="3">
        <v>110</v>
      </c>
      <c r="K52" s="100"/>
      <c r="L52" s="491"/>
      <c r="M52" s="491"/>
      <c r="N52" s="3"/>
      <c r="O52" s="168"/>
      <c r="P52" s="3"/>
      <c r="Q52" s="3"/>
      <c r="R52" s="3"/>
    </row>
    <row r="53" spans="1:18" ht="12" customHeight="1" hidden="1" outlineLevel="1">
      <c r="A53" s="90"/>
      <c r="B53" s="174">
        <v>633009</v>
      </c>
      <c r="C53" s="171" t="s">
        <v>81</v>
      </c>
      <c r="D53" s="92">
        <v>100</v>
      </c>
      <c r="E53" s="93"/>
      <c r="F53" s="103">
        <f t="shared" si="6"/>
        <v>100</v>
      </c>
      <c r="G53" s="5">
        <v>88</v>
      </c>
      <c r="H53" s="161">
        <f t="shared" si="7"/>
        <v>0.88</v>
      </c>
      <c r="I53" s="5">
        <v>120</v>
      </c>
      <c r="K53" s="100"/>
      <c r="L53" s="491"/>
      <c r="M53" s="491"/>
      <c r="N53" s="5"/>
      <c r="O53" s="168"/>
      <c r="P53" s="5"/>
      <c r="Q53" s="5"/>
      <c r="R53" s="3"/>
    </row>
    <row r="54" spans="1:18" ht="12" customHeight="1" hidden="1" outlineLevel="1">
      <c r="A54" s="90"/>
      <c r="B54" s="174">
        <v>633013</v>
      </c>
      <c r="C54" s="171" t="s">
        <v>82</v>
      </c>
      <c r="D54" s="92">
        <v>70</v>
      </c>
      <c r="E54" s="93"/>
      <c r="F54" s="103">
        <f t="shared" si="6"/>
        <v>70</v>
      </c>
      <c r="G54" s="5">
        <v>52</v>
      </c>
      <c r="H54" s="161">
        <f t="shared" si="7"/>
        <v>0.7428571428571429</v>
      </c>
      <c r="I54" s="3">
        <f>+F54</f>
        <v>70</v>
      </c>
      <c r="K54" s="100"/>
      <c r="L54" s="491"/>
      <c r="M54" s="491"/>
      <c r="N54" s="3"/>
      <c r="O54" s="168"/>
      <c r="P54" s="3"/>
      <c r="Q54" s="3"/>
      <c r="R54" s="3"/>
    </row>
    <row r="55" spans="1:18" ht="12" customHeight="1" hidden="1" outlineLevel="1">
      <c r="A55" s="90"/>
      <c r="B55" s="174">
        <v>633016</v>
      </c>
      <c r="C55" s="171" t="s">
        <v>83</v>
      </c>
      <c r="D55" s="78">
        <v>40</v>
      </c>
      <c r="E55" s="93"/>
      <c r="F55" s="103">
        <f t="shared" si="6"/>
        <v>40</v>
      </c>
      <c r="G55" s="5">
        <f>34-11</f>
        <v>23</v>
      </c>
      <c r="H55" s="161">
        <f t="shared" si="7"/>
        <v>0.575</v>
      </c>
      <c r="I55" s="3">
        <v>40</v>
      </c>
      <c r="K55" s="100"/>
      <c r="L55" s="491"/>
      <c r="M55" s="491"/>
      <c r="N55" s="3"/>
      <c r="O55" s="168"/>
      <c r="P55" s="3"/>
      <c r="Q55" s="3"/>
      <c r="R55" s="3"/>
    </row>
    <row r="56" spans="1:18" ht="12" customHeight="1" outlineLevel="1">
      <c r="A56" s="90"/>
      <c r="B56" s="174">
        <v>633006</v>
      </c>
      <c r="C56" s="171" t="s">
        <v>340</v>
      </c>
      <c r="D56" s="78"/>
      <c r="E56" s="93"/>
      <c r="F56" s="103"/>
      <c r="G56" s="5"/>
      <c r="H56" s="161"/>
      <c r="I56" s="3"/>
      <c r="K56" s="100"/>
      <c r="L56" s="491">
        <v>79.69</v>
      </c>
      <c r="M56" s="491">
        <v>81.3</v>
      </c>
      <c r="N56" s="3">
        <v>101</v>
      </c>
      <c r="O56" s="168">
        <v>110</v>
      </c>
      <c r="P56" s="3">
        <v>110</v>
      </c>
      <c r="Q56" s="3">
        <v>110</v>
      </c>
      <c r="R56" s="3">
        <v>110</v>
      </c>
    </row>
    <row r="57" spans="1:19" ht="12" customHeight="1" outlineLevel="1">
      <c r="A57" s="90"/>
      <c r="B57" s="174">
        <v>633006</v>
      </c>
      <c r="C57" s="171" t="s">
        <v>286</v>
      </c>
      <c r="D57" s="78"/>
      <c r="E57" s="93"/>
      <c r="F57" s="103"/>
      <c r="G57" s="5"/>
      <c r="H57" s="161"/>
      <c r="I57" s="3"/>
      <c r="K57" s="100"/>
      <c r="L57" s="491">
        <v>528.38</v>
      </c>
      <c r="M57" s="491">
        <v>743.38</v>
      </c>
      <c r="N57" s="3">
        <v>650</v>
      </c>
      <c r="O57" s="168">
        <v>2500</v>
      </c>
      <c r="P57" s="3">
        <v>1000</v>
      </c>
      <c r="Q57" s="3">
        <v>2300</v>
      </c>
      <c r="R57" s="3">
        <v>2300</v>
      </c>
      <c r="S57" s="589"/>
    </row>
    <row r="58" spans="1:18" ht="12" customHeight="1" outlineLevel="1">
      <c r="A58" s="90"/>
      <c r="B58" s="174">
        <v>633006</v>
      </c>
      <c r="C58" s="171" t="s">
        <v>162</v>
      </c>
      <c r="D58" s="78"/>
      <c r="E58" s="93"/>
      <c r="F58" s="103"/>
      <c r="G58" s="5"/>
      <c r="H58" s="161"/>
      <c r="I58" s="3"/>
      <c r="K58" s="100"/>
      <c r="L58" s="516">
        <v>9.48</v>
      </c>
      <c r="M58" s="516">
        <v>24.65</v>
      </c>
      <c r="N58" s="168">
        <v>50</v>
      </c>
      <c r="O58" s="168">
        <v>50</v>
      </c>
      <c r="P58" s="168">
        <v>50</v>
      </c>
      <c r="Q58" s="168">
        <v>50</v>
      </c>
      <c r="R58" s="168">
        <v>50</v>
      </c>
    </row>
    <row r="59" spans="1:19" ht="12" customHeight="1" outlineLevel="1">
      <c r="A59" s="90"/>
      <c r="B59" s="174">
        <v>633006</v>
      </c>
      <c r="C59" s="171" t="s">
        <v>265</v>
      </c>
      <c r="D59" s="78"/>
      <c r="E59" s="93"/>
      <c r="F59" s="103"/>
      <c r="G59" s="5"/>
      <c r="H59" s="161"/>
      <c r="I59" s="3"/>
      <c r="K59" s="100"/>
      <c r="L59" s="516">
        <v>1391.4</v>
      </c>
      <c r="M59" s="516">
        <v>1275.6</v>
      </c>
      <c r="N59" s="168">
        <v>1200</v>
      </c>
      <c r="O59" s="168">
        <v>2066</v>
      </c>
      <c r="P59" s="168">
        <v>2400</v>
      </c>
      <c r="Q59" s="168">
        <v>2350</v>
      </c>
      <c r="R59" s="168">
        <v>2350</v>
      </c>
      <c r="S59" s="589"/>
    </row>
    <row r="60" spans="1:18" ht="12" customHeight="1" outlineLevel="1">
      <c r="A60" s="90"/>
      <c r="B60" s="174">
        <v>633006</v>
      </c>
      <c r="C60" s="171" t="s">
        <v>221</v>
      </c>
      <c r="D60" s="78"/>
      <c r="E60" s="93"/>
      <c r="F60" s="103"/>
      <c r="G60" s="5"/>
      <c r="H60" s="161"/>
      <c r="I60" s="3"/>
      <c r="K60" s="100"/>
      <c r="L60" s="491">
        <v>762.92</v>
      </c>
      <c r="M60" s="491">
        <v>1046.13</v>
      </c>
      <c r="N60" s="3">
        <v>1500</v>
      </c>
      <c r="O60" s="168">
        <v>1500</v>
      </c>
      <c r="P60" s="3">
        <v>1500</v>
      </c>
      <c r="Q60" s="3">
        <v>1520</v>
      </c>
      <c r="R60" s="3">
        <v>1515</v>
      </c>
    </row>
    <row r="61" spans="1:18" ht="12" customHeight="1" outlineLevel="1">
      <c r="A61" s="90"/>
      <c r="B61" s="68">
        <v>633006</v>
      </c>
      <c r="C61" s="69" t="s">
        <v>295</v>
      </c>
      <c r="D61" s="105"/>
      <c r="E61" s="93"/>
      <c r="F61" s="105"/>
      <c r="G61" s="93"/>
      <c r="H61" s="123"/>
      <c r="I61" s="3"/>
      <c r="K61" s="100"/>
      <c r="L61" s="516">
        <v>117.6</v>
      </c>
      <c r="M61" s="516">
        <v>0</v>
      </c>
      <c r="N61" s="168">
        <v>0</v>
      </c>
      <c r="O61" s="168">
        <v>0</v>
      </c>
      <c r="P61" s="168">
        <v>0</v>
      </c>
      <c r="Q61" s="168">
        <v>0</v>
      </c>
      <c r="R61" s="168">
        <v>0</v>
      </c>
    </row>
    <row r="62" spans="1:18" ht="12" customHeight="1" outlineLevel="1">
      <c r="A62" s="90"/>
      <c r="B62" s="68">
        <v>633006</v>
      </c>
      <c r="C62" s="69" t="s">
        <v>378</v>
      </c>
      <c r="D62" s="105"/>
      <c r="E62" s="93"/>
      <c r="F62" s="105"/>
      <c r="G62" s="93"/>
      <c r="H62" s="123"/>
      <c r="I62" s="3"/>
      <c r="K62" s="100"/>
      <c r="L62" s="516">
        <v>0</v>
      </c>
      <c r="M62" s="516">
        <v>0</v>
      </c>
      <c r="N62" s="168">
        <v>0</v>
      </c>
      <c r="O62" s="168">
        <v>603</v>
      </c>
      <c r="P62" s="168">
        <v>0</v>
      </c>
      <c r="Q62" s="168">
        <v>0</v>
      </c>
      <c r="R62" s="168">
        <v>0</v>
      </c>
    </row>
    <row r="63" spans="1:18" ht="12" customHeight="1" outlineLevel="1">
      <c r="A63" s="90"/>
      <c r="B63" s="174">
        <v>633009</v>
      </c>
      <c r="C63" s="171" t="s">
        <v>264</v>
      </c>
      <c r="D63" s="78"/>
      <c r="E63" s="93"/>
      <c r="F63" s="103"/>
      <c r="G63" s="5"/>
      <c r="H63" s="161"/>
      <c r="I63" s="3"/>
      <c r="K63" s="100"/>
      <c r="L63" s="491">
        <v>257.56</v>
      </c>
      <c r="M63" s="491">
        <v>232.7</v>
      </c>
      <c r="N63" s="3">
        <v>230</v>
      </c>
      <c r="O63" s="168">
        <v>325</v>
      </c>
      <c r="P63" s="3">
        <v>230</v>
      </c>
      <c r="Q63" s="3">
        <v>240</v>
      </c>
      <c r="R63" s="3">
        <v>240</v>
      </c>
    </row>
    <row r="64" spans="1:18" ht="12" customHeight="1" outlineLevel="1">
      <c r="A64" s="90"/>
      <c r="B64" s="174">
        <v>633010</v>
      </c>
      <c r="C64" s="171" t="s">
        <v>199</v>
      </c>
      <c r="D64" s="78"/>
      <c r="E64" s="93"/>
      <c r="F64" s="103"/>
      <c r="G64" s="5"/>
      <c r="H64" s="161"/>
      <c r="I64" s="3"/>
      <c r="K64" s="100"/>
      <c r="L64" s="516">
        <v>51.92</v>
      </c>
      <c r="M64" s="516">
        <v>0</v>
      </c>
      <c r="N64" s="168">
        <v>55</v>
      </c>
      <c r="O64" s="168">
        <v>0</v>
      </c>
      <c r="P64" s="168">
        <v>50</v>
      </c>
      <c r="Q64" s="168">
        <v>0</v>
      </c>
      <c r="R64" s="168">
        <v>50</v>
      </c>
    </row>
    <row r="65" spans="1:18" ht="12" customHeight="1" outlineLevel="1">
      <c r="A65" s="90"/>
      <c r="B65" s="174">
        <v>633011</v>
      </c>
      <c r="C65" s="171" t="s">
        <v>266</v>
      </c>
      <c r="D65" s="78"/>
      <c r="E65" s="93"/>
      <c r="F65" s="103"/>
      <c r="G65" s="5"/>
      <c r="H65" s="161"/>
      <c r="I65" s="3"/>
      <c r="K65" s="100"/>
      <c r="L65" s="516">
        <v>0</v>
      </c>
      <c r="M65" s="516">
        <v>36.24</v>
      </c>
      <c r="N65" s="168">
        <v>35</v>
      </c>
      <c r="O65" s="168">
        <v>0</v>
      </c>
      <c r="P65" s="168">
        <v>35</v>
      </c>
      <c r="Q65" s="168">
        <v>0</v>
      </c>
      <c r="R65" s="168">
        <v>0</v>
      </c>
    </row>
    <row r="66" spans="1:19" ht="12" customHeight="1" outlineLevel="1">
      <c r="A66" s="90"/>
      <c r="B66" s="174">
        <v>633013</v>
      </c>
      <c r="C66" s="171" t="s">
        <v>231</v>
      </c>
      <c r="D66" s="78"/>
      <c r="E66" s="93"/>
      <c r="F66" s="103"/>
      <c r="G66" s="5"/>
      <c r="H66" s="161"/>
      <c r="I66" s="3"/>
      <c r="K66" s="100"/>
      <c r="L66" s="491">
        <v>0</v>
      </c>
      <c r="M66" s="491">
        <v>41.65</v>
      </c>
      <c r="N66" s="3">
        <v>0</v>
      </c>
      <c r="O66" s="168">
        <v>0</v>
      </c>
      <c r="P66" s="3">
        <v>45</v>
      </c>
      <c r="Q66" s="3">
        <v>0</v>
      </c>
      <c r="R66" s="3">
        <v>0</v>
      </c>
      <c r="S66" s="589"/>
    </row>
    <row r="67" spans="1:18" ht="12" customHeight="1" outlineLevel="1">
      <c r="A67" s="90"/>
      <c r="B67" s="174">
        <v>633015</v>
      </c>
      <c r="C67" s="171" t="s">
        <v>189</v>
      </c>
      <c r="D67" s="78"/>
      <c r="E67" s="93"/>
      <c r="F67" s="103"/>
      <c r="G67" s="5"/>
      <c r="H67" s="161"/>
      <c r="I67" s="3"/>
      <c r="K67" s="100"/>
      <c r="L67" s="516">
        <v>85.83</v>
      </c>
      <c r="M67" s="516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</row>
    <row r="68" spans="1:19" ht="12" customHeight="1" outlineLevel="1">
      <c r="A68" s="90"/>
      <c r="B68" s="174">
        <v>633016</v>
      </c>
      <c r="C68" s="171" t="s">
        <v>83</v>
      </c>
      <c r="D68" s="78"/>
      <c r="E68" s="93"/>
      <c r="F68" s="103"/>
      <c r="G68" s="5"/>
      <c r="H68" s="161"/>
      <c r="I68" s="3"/>
      <c r="K68" s="100"/>
      <c r="L68" s="516">
        <v>388.24</v>
      </c>
      <c r="M68" s="516">
        <v>296.01</v>
      </c>
      <c r="N68" s="168">
        <v>400</v>
      </c>
      <c r="O68" s="168">
        <v>200</v>
      </c>
      <c r="P68" s="168">
        <v>200</v>
      </c>
      <c r="Q68" s="168">
        <v>250</v>
      </c>
      <c r="R68" s="168">
        <v>250</v>
      </c>
      <c r="S68" s="589"/>
    </row>
    <row r="69" spans="1:18" ht="12" customHeight="1" outlineLevel="1">
      <c r="A69" s="90"/>
      <c r="B69" s="174">
        <v>633019</v>
      </c>
      <c r="C69" s="171" t="s">
        <v>358</v>
      </c>
      <c r="D69" s="78"/>
      <c r="E69" s="93"/>
      <c r="F69" s="103"/>
      <c r="G69" s="5"/>
      <c r="H69" s="161"/>
      <c r="I69" s="3"/>
      <c r="K69" s="100"/>
      <c r="L69" s="516">
        <v>0</v>
      </c>
      <c r="M69" s="516">
        <v>84</v>
      </c>
      <c r="N69" s="168">
        <v>0</v>
      </c>
      <c r="O69" s="168">
        <v>0</v>
      </c>
      <c r="P69" s="168">
        <v>0</v>
      </c>
      <c r="Q69" s="168">
        <v>0</v>
      </c>
      <c r="R69" s="168">
        <v>0</v>
      </c>
    </row>
    <row r="70" spans="1:18" s="119" customFormat="1" ht="12" customHeight="1">
      <c r="A70" s="117"/>
      <c r="B70" s="68">
        <v>634001</v>
      </c>
      <c r="C70" s="93" t="s">
        <v>163</v>
      </c>
      <c r="D70" s="120"/>
      <c r="E70" s="118"/>
      <c r="F70" s="111"/>
      <c r="G70" s="121">
        <f>SUM(G71:G74)</f>
        <v>242</v>
      </c>
      <c r="H70" s="117">
        <f>SUM(H71:H74)</f>
        <v>3.2677732793522267</v>
      </c>
      <c r="I70" s="121">
        <f>SUM(I71:I74)</f>
        <v>370</v>
      </c>
      <c r="K70" s="100"/>
      <c r="L70" s="491">
        <v>1170.63</v>
      </c>
      <c r="M70" s="491">
        <v>1100.51</v>
      </c>
      <c r="N70" s="3">
        <v>1800</v>
      </c>
      <c r="O70" s="168">
        <v>1000</v>
      </c>
      <c r="P70" s="3">
        <v>1500</v>
      </c>
      <c r="Q70" s="3">
        <v>1550</v>
      </c>
      <c r="R70" s="3">
        <v>1550</v>
      </c>
    </row>
    <row r="71" spans="1:18" ht="12" customHeight="1" hidden="1" outlineLevel="1">
      <c r="A71" s="90"/>
      <c r="B71" s="173" t="s">
        <v>10</v>
      </c>
      <c r="C71" s="171" t="s">
        <v>84</v>
      </c>
      <c r="D71" s="92">
        <v>130</v>
      </c>
      <c r="E71" s="93"/>
      <c r="F71" s="103">
        <f>+D71</f>
        <v>130</v>
      </c>
      <c r="G71" s="5">
        <v>128</v>
      </c>
      <c r="H71" s="161">
        <f>+G71/D71</f>
        <v>0.9846153846153847</v>
      </c>
      <c r="I71" s="5">
        <v>190</v>
      </c>
      <c r="K71" s="100"/>
      <c r="L71" s="516"/>
      <c r="M71" s="516"/>
      <c r="N71" s="169"/>
      <c r="O71" s="168"/>
      <c r="P71" s="169"/>
      <c r="Q71" s="169"/>
      <c r="R71" s="168"/>
    </row>
    <row r="72" spans="1:18" ht="12" customHeight="1" hidden="1" outlineLevel="1">
      <c r="A72" s="90"/>
      <c r="B72" s="174">
        <v>634002</v>
      </c>
      <c r="C72" s="171" t="s">
        <v>85</v>
      </c>
      <c r="D72" s="92">
        <v>100</v>
      </c>
      <c r="E72" s="105"/>
      <c r="F72" s="103">
        <f>+D72</f>
        <v>100</v>
      </c>
      <c r="G72" s="5">
        <v>52</v>
      </c>
      <c r="H72" s="161">
        <f>+G72/D72</f>
        <v>0.52</v>
      </c>
      <c r="I72" s="5">
        <v>100</v>
      </c>
      <c r="K72" s="100"/>
      <c r="L72" s="516"/>
      <c r="M72" s="516"/>
      <c r="N72" s="169"/>
      <c r="O72" s="168"/>
      <c r="P72" s="169"/>
      <c r="Q72" s="169"/>
      <c r="R72" s="168"/>
    </row>
    <row r="73" spans="1:18" ht="12" customHeight="1" hidden="1" outlineLevel="1">
      <c r="A73" s="90"/>
      <c r="B73" s="174">
        <v>634005</v>
      </c>
      <c r="C73" s="171" t="s">
        <v>87</v>
      </c>
      <c r="D73" s="92">
        <v>4</v>
      </c>
      <c r="E73" s="93"/>
      <c r="F73" s="103">
        <f>+D73</f>
        <v>4</v>
      </c>
      <c r="G73" s="5">
        <v>4</v>
      </c>
      <c r="H73" s="161">
        <f>+G73/D73</f>
        <v>1</v>
      </c>
      <c r="I73" s="5">
        <v>4</v>
      </c>
      <c r="K73" s="100"/>
      <c r="L73" s="516"/>
      <c r="M73" s="516"/>
      <c r="N73" s="169"/>
      <c r="O73" s="168"/>
      <c r="P73" s="169"/>
      <c r="Q73" s="169"/>
      <c r="R73" s="168"/>
    </row>
    <row r="74" spans="1:18" ht="12" customHeight="1" hidden="1" outlineLevel="1">
      <c r="A74" s="90"/>
      <c r="B74" s="174">
        <v>634004</v>
      </c>
      <c r="C74" s="171" t="s">
        <v>88</v>
      </c>
      <c r="D74" s="92">
        <v>76</v>
      </c>
      <c r="E74" s="93"/>
      <c r="F74" s="103">
        <f>+D74</f>
        <v>76</v>
      </c>
      <c r="G74" s="5">
        <v>58</v>
      </c>
      <c r="H74" s="161">
        <f>+G74/D74</f>
        <v>0.7631578947368421</v>
      </c>
      <c r="I74" s="5">
        <v>76</v>
      </c>
      <c r="K74" s="100"/>
      <c r="L74" s="516"/>
      <c r="M74" s="516"/>
      <c r="N74" s="169"/>
      <c r="O74" s="168"/>
      <c r="P74" s="169"/>
      <c r="Q74" s="169"/>
      <c r="R74" s="168"/>
    </row>
    <row r="75" spans="1:18" ht="12" customHeight="1" outlineLevel="1">
      <c r="A75" s="90"/>
      <c r="B75" s="174">
        <v>634001</v>
      </c>
      <c r="C75" s="171" t="s">
        <v>164</v>
      </c>
      <c r="D75" s="92"/>
      <c r="E75" s="93"/>
      <c r="F75" s="105"/>
      <c r="G75" s="5"/>
      <c r="H75" s="161"/>
      <c r="I75" s="5"/>
      <c r="K75" s="100"/>
      <c r="L75" s="516">
        <v>6.2</v>
      </c>
      <c r="M75" s="516">
        <v>28.7</v>
      </c>
      <c r="N75" s="169">
        <v>300</v>
      </c>
      <c r="O75" s="168">
        <v>300</v>
      </c>
      <c r="P75" s="169">
        <v>300</v>
      </c>
      <c r="Q75" s="169">
        <v>310</v>
      </c>
      <c r="R75" s="168">
        <v>310</v>
      </c>
    </row>
    <row r="76" spans="1:18" ht="12" customHeight="1" outlineLevel="1">
      <c r="A76" s="90"/>
      <c r="B76" s="174">
        <v>634001</v>
      </c>
      <c r="C76" s="171" t="s">
        <v>287</v>
      </c>
      <c r="D76" s="92"/>
      <c r="E76" s="93"/>
      <c r="F76" s="105"/>
      <c r="G76" s="5"/>
      <c r="H76" s="161"/>
      <c r="I76" s="5"/>
      <c r="K76" s="100"/>
      <c r="L76" s="516">
        <v>251.75</v>
      </c>
      <c r="M76" s="516">
        <v>234.39</v>
      </c>
      <c r="N76" s="169">
        <v>300</v>
      </c>
      <c r="O76" s="168">
        <v>300</v>
      </c>
      <c r="P76" s="169">
        <v>300</v>
      </c>
      <c r="Q76" s="169">
        <v>300</v>
      </c>
      <c r="R76" s="168">
        <v>300</v>
      </c>
    </row>
    <row r="77" spans="1:19" ht="12" customHeight="1" outlineLevel="1">
      <c r="A77" s="90"/>
      <c r="B77" s="174">
        <v>634002</v>
      </c>
      <c r="C77" s="171" t="s">
        <v>200</v>
      </c>
      <c r="D77" s="92"/>
      <c r="E77" s="93"/>
      <c r="F77" s="105"/>
      <c r="G77" s="5"/>
      <c r="H77" s="161"/>
      <c r="I77" s="5"/>
      <c r="K77" s="100"/>
      <c r="L77" s="491">
        <v>184</v>
      </c>
      <c r="M77" s="491">
        <v>0</v>
      </c>
      <c r="N77" s="5">
        <v>500</v>
      </c>
      <c r="O77" s="168">
        <v>500</v>
      </c>
      <c r="P77" s="5">
        <v>1000</v>
      </c>
      <c r="Q77" s="5">
        <v>500</v>
      </c>
      <c r="R77" s="3">
        <v>500</v>
      </c>
      <c r="S77" s="589"/>
    </row>
    <row r="78" spans="1:18" ht="12" customHeight="1" outlineLevel="1">
      <c r="A78" s="90"/>
      <c r="B78" s="174">
        <v>634002</v>
      </c>
      <c r="C78" s="171" t="s">
        <v>220</v>
      </c>
      <c r="D78" s="92"/>
      <c r="E78" s="93"/>
      <c r="F78" s="105"/>
      <c r="G78" s="5"/>
      <c r="H78" s="161"/>
      <c r="I78" s="5"/>
      <c r="K78" s="100"/>
      <c r="L78" s="516">
        <v>0</v>
      </c>
      <c r="M78" s="516">
        <v>0</v>
      </c>
      <c r="N78" s="169">
        <v>150</v>
      </c>
      <c r="O78" s="168">
        <v>150</v>
      </c>
      <c r="P78" s="169">
        <v>150</v>
      </c>
      <c r="Q78" s="169">
        <v>200</v>
      </c>
      <c r="R78" s="168">
        <v>200</v>
      </c>
    </row>
    <row r="79" spans="1:18" ht="12" customHeight="1" outlineLevel="1">
      <c r="A79" s="90"/>
      <c r="B79" s="174">
        <v>634002</v>
      </c>
      <c r="C79" s="171" t="s">
        <v>219</v>
      </c>
      <c r="D79" s="92"/>
      <c r="E79" s="93"/>
      <c r="F79" s="105"/>
      <c r="G79" s="5"/>
      <c r="H79" s="161"/>
      <c r="I79" s="5"/>
      <c r="K79" s="100"/>
      <c r="L79" s="516">
        <v>0</v>
      </c>
      <c r="M79" s="516">
        <v>96.02</v>
      </c>
      <c r="N79" s="169">
        <v>100</v>
      </c>
      <c r="O79" s="168">
        <v>100</v>
      </c>
      <c r="P79" s="169">
        <v>100</v>
      </c>
      <c r="Q79" s="169">
        <v>150</v>
      </c>
      <c r="R79" s="168">
        <v>150</v>
      </c>
    </row>
    <row r="80" spans="1:18" ht="12" customHeight="1">
      <c r="A80" s="90"/>
      <c r="B80" s="174">
        <v>634003</v>
      </c>
      <c r="C80" s="171" t="s">
        <v>86</v>
      </c>
      <c r="D80" s="92"/>
      <c r="E80" s="93"/>
      <c r="F80" s="105"/>
      <c r="G80" s="5"/>
      <c r="H80" s="161"/>
      <c r="I80" s="90"/>
      <c r="K80" s="100"/>
      <c r="L80" s="518">
        <v>129.32</v>
      </c>
      <c r="M80" s="518">
        <v>129.32</v>
      </c>
      <c r="N80" s="429">
        <v>166</v>
      </c>
      <c r="O80" s="623">
        <v>166</v>
      </c>
      <c r="P80" s="429">
        <v>166</v>
      </c>
      <c r="Q80" s="429">
        <v>166</v>
      </c>
      <c r="R80" s="587">
        <v>166</v>
      </c>
    </row>
    <row r="81" spans="1:18" ht="12" customHeight="1">
      <c r="A81" s="90"/>
      <c r="B81" s="174">
        <v>635002</v>
      </c>
      <c r="C81" s="171" t="s">
        <v>201</v>
      </c>
      <c r="D81" s="78"/>
      <c r="E81" s="93"/>
      <c r="F81" s="103"/>
      <c r="G81" s="5"/>
      <c r="H81" s="161"/>
      <c r="I81" s="3"/>
      <c r="K81" s="100"/>
      <c r="L81" s="516">
        <v>601.45</v>
      </c>
      <c r="M81" s="516">
        <v>563.65</v>
      </c>
      <c r="N81" s="168">
        <v>600</v>
      </c>
      <c r="O81" s="168">
        <v>650</v>
      </c>
      <c r="P81" s="168">
        <v>650</v>
      </c>
      <c r="Q81" s="168">
        <v>650</v>
      </c>
      <c r="R81" s="168">
        <v>650</v>
      </c>
    </row>
    <row r="82" spans="1:18" s="119" customFormat="1" ht="12" customHeight="1">
      <c r="A82" s="117"/>
      <c r="B82" s="68">
        <v>635004</v>
      </c>
      <c r="C82" s="408" t="s">
        <v>223</v>
      </c>
      <c r="D82" s="120"/>
      <c r="E82" s="118"/>
      <c r="F82" s="110"/>
      <c r="G82" s="121">
        <f>SUM(G83:G87)</f>
        <v>174</v>
      </c>
      <c r="H82" s="117">
        <f>SUM(H83:H87)</f>
        <v>13.046666666666667</v>
      </c>
      <c r="I82" s="121">
        <f>SUM(I83:I87)</f>
        <v>202</v>
      </c>
      <c r="J82" s="150"/>
      <c r="K82" s="100"/>
      <c r="L82" s="516">
        <v>53</v>
      </c>
      <c r="M82" s="516">
        <v>0</v>
      </c>
      <c r="N82" s="169">
        <v>200</v>
      </c>
      <c r="O82" s="168">
        <v>100</v>
      </c>
      <c r="P82" s="169">
        <v>100</v>
      </c>
      <c r="Q82" s="169">
        <v>100</v>
      </c>
      <c r="R82" s="168">
        <v>100</v>
      </c>
    </row>
    <row r="83" spans="1:18" ht="12" customHeight="1" hidden="1" outlineLevel="1">
      <c r="A83" s="90"/>
      <c r="B83" s="173" t="s">
        <v>11</v>
      </c>
      <c r="C83" s="171" t="s">
        <v>89</v>
      </c>
      <c r="D83" s="92">
        <v>2</v>
      </c>
      <c r="E83" s="93"/>
      <c r="F83" s="103">
        <f>+D83</f>
        <v>2</v>
      </c>
      <c r="G83" s="5">
        <v>19</v>
      </c>
      <c r="H83" s="161">
        <f>+G83/D83</f>
        <v>9.5</v>
      </c>
      <c r="I83" s="5">
        <v>30</v>
      </c>
      <c r="K83" s="100"/>
      <c r="L83" s="516"/>
      <c r="M83" s="516"/>
      <c r="N83" s="169"/>
      <c r="O83" s="168"/>
      <c r="P83" s="169"/>
      <c r="Q83" s="169"/>
      <c r="R83" s="168"/>
    </row>
    <row r="84" spans="1:18" ht="12" customHeight="1" hidden="1" outlineLevel="1">
      <c r="A84" s="90"/>
      <c r="B84" s="173" t="s">
        <v>12</v>
      </c>
      <c r="C84" s="171" t="s">
        <v>90</v>
      </c>
      <c r="D84" s="92">
        <v>75</v>
      </c>
      <c r="E84" s="93"/>
      <c r="F84" s="103">
        <f>+D84</f>
        <v>75</v>
      </c>
      <c r="G84" s="5">
        <v>62</v>
      </c>
      <c r="H84" s="161">
        <f>+G84/D84</f>
        <v>0.8266666666666667</v>
      </c>
      <c r="I84" s="5">
        <v>75</v>
      </c>
      <c r="K84" s="100"/>
      <c r="L84" s="516"/>
      <c r="M84" s="516"/>
      <c r="N84" s="169"/>
      <c r="O84" s="168"/>
      <c r="P84" s="169"/>
      <c r="Q84" s="169"/>
      <c r="R84" s="168"/>
    </row>
    <row r="85" spans="1:18" ht="12" customHeight="1" hidden="1" outlineLevel="1">
      <c r="A85" s="90"/>
      <c r="B85" s="174">
        <v>635006</v>
      </c>
      <c r="C85" s="171" t="s">
        <v>91</v>
      </c>
      <c r="D85" s="92">
        <v>50</v>
      </c>
      <c r="E85" s="93"/>
      <c r="F85" s="103">
        <f>+D85</f>
        <v>50</v>
      </c>
      <c r="G85" s="5">
        <v>61</v>
      </c>
      <c r="H85" s="161">
        <f>+G85/D85</f>
        <v>1.22</v>
      </c>
      <c r="I85" s="5">
        <v>50</v>
      </c>
      <c r="K85" s="100"/>
      <c r="L85" s="516"/>
      <c r="M85" s="516"/>
      <c r="N85" s="169"/>
      <c r="O85" s="168"/>
      <c r="P85" s="169"/>
      <c r="Q85" s="169"/>
      <c r="R85" s="168"/>
    </row>
    <row r="86" spans="1:18" ht="12" customHeight="1" hidden="1" outlineLevel="1">
      <c r="A86" s="90"/>
      <c r="B86" s="174">
        <v>635002</v>
      </c>
      <c r="C86" s="171" t="s">
        <v>90</v>
      </c>
      <c r="D86" s="78">
        <v>30</v>
      </c>
      <c r="E86" s="93"/>
      <c r="F86" s="103">
        <f>+D86</f>
        <v>30</v>
      </c>
      <c r="G86" s="5">
        <v>15</v>
      </c>
      <c r="H86" s="161">
        <f>+G86/D86</f>
        <v>0.5</v>
      </c>
      <c r="I86" s="3">
        <v>30</v>
      </c>
      <c r="K86" s="100"/>
      <c r="L86" s="516"/>
      <c r="M86" s="516"/>
      <c r="N86" s="168"/>
      <c r="O86" s="168"/>
      <c r="P86" s="168"/>
      <c r="Q86" s="168"/>
      <c r="R86" s="168"/>
    </row>
    <row r="87" spans="1:18" ht="12" customHeight="1" hidden="1" outlineLevel="1">
      <c r="A87" s="90"/>
      <c r="B87" s="174">
        <v>635004</v>
      </c>
      <c r="C87" s="171" t="s">
        <v>92</v>
      </c>
      <c r="D87" s="78">
        <v>17</v>
      </c>
      <c r="E87" s="93"/>
      <c r="F87" s="103">
        <f>+D87</f>
        <v>17</v>
      </c>
      <c r="G87" s="5">
        <v>17</v>
      </c>
      <c r="H87" s="161">
        <f>+G87/D87</f>
        <v>1</v>
      </c>
      <c r="I87" s="3">
        <v>17</v>
      </c>
      <c r="K87" s="100"/>
      <c r="L87" s="516"/>
      <c r="M87" s="516"/>
      <c r="N87" s="168"/>
      <c r="O87" s="168"/>
      <c r="P87" s="168"/>
      <c r="Q87" s="168"/>
      <c r="R87" s="168"/>
    </row>
    <row r="88" spans="1:18" ht="12" customHeight="1" outlineLevel="1">
      <c r="A88" s="90"/>
      <c r="B88" s="174">
        <v>635006</v>
      </c>
      <c r="C88" s="171" t="s">
        <v>351</v>
      </c>
      <c r="D88" s="78"/>
      <c r="E88" s="93"/>
      <c r="F88" s="103"/>
      <c r="G88" s="5"/>
      <c r="H88" s="161"/>
      <c r="I88" s="3"/>
      <c r="K88" s="100"/>
      <c r="L88" s="516">
        <v>6148.74</v>
      </c>
      <c r="M88" s="516">
        <v>0</v>
      </c>
      <c r="N88" s="168">
        <v>0</v>
      </c>
      <c r="O88" s="168">
        <v>0</v>
      </c>
      <c r="P88" s="628">
        <v>0</v>
      </c>
      <c r="Q88" s="168">
        <v>0</v>
      </c>
      <c r="R88" s="168">
        <v>0</v>
      </c>
    </row>
    <row r="89" spans="1:18" ht="12" customHeight="1" outlineLevel="1">
      <c r="A89" s="90"/>
      <c r="B89" s="174">
        <v>635006</v>
      </c>
      <c r="C89" s="171" t="s">
        <v>165</v>
      </c>
      <c r="D89" s="78"/>
      <c r="E89" s="93"/>
      <c r="F89" s="103"/>
      <c r="G89" s="5"/>
      <c r="H89" s="161"/>
      <c r="I89" s="3"/>
      <c r="K89" s="100"/>
      <c r="L89" s="491">
        <v>1684.98</v>
      </c>
      <c r="M89" s="491">
        <v>1061.05</v>
      </c>
      <c r="N89" s="3">
        <v>13984</v>
      </c>
      <c r="O89" s="3">
        <v>23000</v>
      </c>
      <c r="P89" s="3">
        <v>15076</v>
      </c>
      <c r="Q89" s="3">
        <v>2000</v>
      </c>
      <c r="R89" s="3">
        <v>1500</v>
      </c>
    </row>
    <row r="90" spans="1:19" ht="12" customHeight="1" outlineLevel="1">
      <c r="A90" s="90"/>
      <c r="B90" s="68">
        <v>635006</v>
      </c>
      <c r="C90" s="69" t="s">
        <v>370</v>
      </c>
      <c r="D90" s="105"/>
      <c r="E90" s="93"/>
      <c r="F90" s="105"/>
      <c r="G90" s="93"/>
      <c r="H90" s="123"/>
      <c r="I90" s="3"/>
      <c r="K90" s="100"/>
      <c r="L90" s="516">
        <v>0</v>
      </c>
      <c r="M90" s="516">
        <v>1832.8</v>
      </c>
      <c r="N90" s="168">
        <v>1000</v>
      </c>
      <c r="O90" s="3">
        <v>400</v>
      </c>
      <c r="P90" s="168">
        <v>100</v>
      </c>
      <c r="Q90" s="168">
        <v>100</v>
      </c>
      <c r="R90" s="168">
        <v>100</v>
      </c>
      <c r="S90" s="589"/>
    </row>
    <row r="91" spans="1:18" s="119" customFormat="1" ht="12" customHeight="1">
      <c r="A91" s="117"/>
      <c r="B91" s="175">
        <v>636001</v>
      </c>
      <c r="C91" s="171" t="s">
        <v>362</v>
      </c>
      <c r="D91" s="109"/>
      <c r="E91" s="118"/>
      <c r="F91" s="111"/>
      <c r="G91" s="112">
        <f>+G92</f>
        <v>1</v>
      </c>
      <c r="H91" s="162">
        <f>+H92</f>
        <v>1</v>
      </c>
      <c r="I91" s="112">
        <f>+I92</f>
        <v>1</v>
      </c>
      <c r="K91" s="100"/>
      <c r="L91" s="491">
        <v>207.13</v>
      </c>
      <c r="M91" s="491">
        <v>207.13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</row>
    <row r="92" spans="1:18" ht="11.25" customHeight="1" hidden="1" outlineLevel="1">
      <c r="A92" s="90"/>
      <c r="B92" s="174">
        <v>636001</v>
      </c>
      <c r="C92" s="171" t="s">
        <v>91</v>
      </c>
      <c r="D92" s="78">
        <v>1</v>
      </c>
      <c r="E92" s="93"/>
      <c r="F92" s="103">
        <f>+D92</f>
        <v>1</v>
      </c>
      <c r="G92" s="5">
        <v>1</v>
      </c>
      <c r="H92" s="161">
        <f>+G92/D92</f>
        <v>1</v>
      </c>
      <c r="I92" s="3">
        <v>1</v>
      </c>
      <c r="K92" s="100"/>
      <c r="L92" s="516"/>
      <c r="M92" s="516"/>
      <c r="N92" s="168"/>
      <c r="O92" s="3"/>
      <c r="P92" s="168"/>
      <c r="Q92" s="168"/>
      <c r="R92" s="168"/>
    </row>
    <row r="93" spans="1:18" ht="11.25" customHeight="1" outlineLevel="1">
      <c r="A93" s="90"/>
      <c r="B93" s="174">
        <v>637001</v>
      </c>
      <c r="C93" s="171" t="s">
        <v>289</v>
      </c>
      <c r="D93" s="78"/>
      <c r="E93" s="93"/>
      <c r="F93" s="105"/>
      <c r="G93" s="5"/>
      <c r="H93" s="161"/>
      <c r="I93" s="3"/>
      <c r="K93" s="100"/>
      <c r="L93" s="516">
        <v>825</v>
      </c>
      <c r="M93" s="516">
        <v>636</v>
      </c>
      <c r="N93" s="168">
        <v>800</v>
      </c>
      <c r="O93" s="3">
        <v>600</v>
      </c>
      <c r="P93" s="168">
        <v>600</v>
      </c>
      <c r="Q93" s="168">
        <v>620</v>
      </c>
      <c r="R93" s="168">
        <v>620</v>
      </c>
    </row>
    <row r="94" spans="1:18" ht="11.25" customHeight="1" outlineLevel="1">
      <c r="A94" s="90"/>
      <c r="B94" s="175">
        <v>637003</v>
      </c>
      <c r="C94" s="408" t="s">
        <v>167</v>
      </c>
      <c r="D94" s="109"/>
      <c r="E94" s="118"/>
      <c r="F94" s="110"/>
      <c r="G94" s="112">
        <f>SUM(G96:G102)</f>
        <v>244</v>
      </c>
      <c r="H94" s="162">
        <f>SUM(H96:H102)</f>
        <v>2.2698387096774195</v>
      </c>
      <c r="I94" s="112">
        <f>SUM(I96:I102)</f>
        <v>390</v>
      </c>
      <c r="J94" s="150"/>
      <c r="K94" s="100"/>
      <c r="L94" s="516">
        <v>301.99</v>
      </c>
      <c r="M94" s="516">
        <v>196.99</v>
      </c>
      <c r="N94" s="168">
        <v>200</v>
      </c>
      <c r="O94" s="3">
        <v>200</v>
      </c>
      <c r="P94" s="168">
        <v>200</v>
      </c>
      <c r="Q94" s="168">
        <v>200</v>
      </c>
      <c r="R94" s="168">
        <v>200</v>
      </c>
    </row>
    <row r="95" spans="1:19" ht="11.25" customHeight="1" outlineLevel="1">
      <c r="A95" s="90"/>
      <c r="B95" s="174">
        <v>637003</v>
      </c>
      <c r="C95" s="171" t="s">
        <v>166</v>
      </c>
      <c r="D95" s="78"/>
      <c r="E95" s="93"/>
      <c r="F95" s="105"/>
      <c r="G95" s="5"/>
      <c r="H95" s="161"/>
      <c r="I95" s="3"/>
      <c r="K95" s="100"/>
      <c r="L95" s="491">
        <v>348</v>
      </c>
      <c r="M95" s="491">
        <v>168</v>
      </c>
      <c r="N95" s="3">
        <v>300</v>
      </c>
      <c r="O95" s="3">
        <v>352</v>
      </c>
      <c r="P95" s="3">
        <v>350</v>
      </c>
      <c r="Q95" s="3">
        <v>300</v>
      </c>
      <c r="R95" s="3">
        <v>300</v>
      </c>
      <c r="S95" s="589"/>
    </row>
    <row r="96" spans="1:19" ht="11.25" customHeight="1" outlineLevel="1">
      <c r="A96" s="90"/>
      <c r="B96" s="174">
        <v>637004</v>
      </c>
      <c r="C96" s="171" t="s">
        <v>288</v>
      </c>
      <c r="D96" s="78"/>
      <c r="E96" s="93"/>
      <c r="F96" s="105"/>
      <c r="G96" s="5"/>
      <c r="H96" s="161"/>
      <c r="I96" s="3"/>
      <c r="K96" s="100"/>
      <c r="L96" s="491">
        <v>325.47</v>
      </c>
      <c r="M96" s="491">
        <v>132.43</v>
      </c>
      <c r="N96" s="3">
        <v>350</v>
      </c>
      <c r="O96" s="3">
        <v>900</v>
      </c>
      <c r="P96" s="3">
        <v>500</v>
      </c>
      <c r="Q96" s="3">
        <v>950</v>
      </c>
      <c r="R96" s="3">
        <v>950</v>
      </c>
      <c r="S96" s="589"/>
    </row>
    <row r="97" spans="1:18" ht="11.25" customHeight="1" outlineLevel="1">
      <c r="A97" s="90"/>
      <c r="B97" s="174">
        <v>637004</v>
      </c>
      <c r="C97" s="171" t="s">
        <v>237</v>
      </c>
      <c r="D97" s="78"/>
      <c r="E97" s="93"/>
      <c r="F97" s="105"/>
      <c r="G97" s="5"/>
      <c r="H97" s="161"/>
      <c r="I97" s="3"/>
      <c r="K97" s="100"/>
      <c r="L97" s="491">
        <v>390</v>
      </c>
      <c r="M97" s="491">
        <v>60</v>
      </c>
      <c r="N97" s="3">
        <v>250</v>
      </c>
      <c r="O97" s="3">
        <v>150</v>
      </c>
      <c r="P97" s="3">
        <v>150</v>
      </c>
      <c r="Q97" s="3">
        <v>150</v>
      </c>
      <c r="R97" s="3">
        <v>150</v>
      </c>
    </row>
    <row r="98" spans="1:18" ht="11.25" customHeight="1" outlineLevel="1">
      <c r="A98" s="90"/>
      <c r="B98" s="174">
        <v>637004</v>
      </c>
      <c r="C98" s="171" t="s">
        <v>389</v>
      </c>
      <c r="D98" s="78"/>
      <c r="E98" s="93"/>
      <c r="F98" s="103"/>
      <c r="G98" s="5"/>
      <c r="H98" s="161"/>
      <c r="I98" s="3"/>
      <c r="K98" s="100"/>
      <c r="L98" s="516">
        <v>250</v>
      </c>
      <c r="M98" s="516">
        <v>111.75</v>
      </c>
      <c r="N98" s="168">
        <v>120</v>
      </c>
      <c r="O98" s="3">
        <v>390</v>
      </c>
      <c r="P98" s="627">
        <v>0</v>
      </c>
      <c r="Q98" s="168">
        <v>400</v>
      </c>
      <c r="R98" s="168">
        <v>0</v>
      </c>
    </row>
    <row r="99" spans="1:18" ht="12" customHeight="1" hidden="1" outlineLevel="2">
      <c r="A99" s="90"/>
      <c r="B99" s="91" t="s">
        <v>13</v>
      </c>
      <c r="C99" s="69" t="s">
        <v>93</v>
      </c>
      <c r="D99" s="78">
        <v>140</v>
      </c>
      <c r="E99" s="93"/>
      <c r="F99" s="103">
        <f aca="true" t="shared" si="8" ref="F99:F108">+D99</f>
        <v>140</v>
      </c>
      <c r="G99" s="5">
        <v>108</v>
      </c>
      <c r="H99" s="161">
        <f aca="true" t="shared" si="9" ref="H99:H108">+G99/D99</f>
        <v>0.7714285714285715</v>
      </c>
      <c r="I99" s="3">
        <v>140</v>
      </c>
      <c r="K99" s="100"/>
      <c r="L99" s="516"/>
      <c r="M99" s="516"/>
      <c r="N99" s="168"/>
      <c r="O99" s="3"/>
      <c r="P99" s="168"/>
      <c r="Q99" s="168"/>
      <c r="R99" s="168"/>
    </row>
    <row r="100" spans="1:18" ht="12" customHeight="1" hidden="1" outlineLevel="2">
      <c r="A100" s="90"/>
      <c r="B100" s="68">
        <v>637003</v>
      </c>
      <c r="C100" s="69" t="s">
        <v>94</v>
      </c>
      <c r="D100" s="78">
        <v>200</v>
      </c>
      <c r="E100" s="93"/>
      <c r="F100" s="103">
        <f t="shared" si="8"/>
        <v>200</v>
      </c>
      <c r="G100" s="5">
        <v>103</v>
      </c>
      <c r="H100" s="161">
        <f t="shared" si="9"/>
        <v>0.515</v>
      </c>
      <c r="I100" s="3">
        <v>200</v>
      </c>
      <c r="K100" s="100"/>
      <c r="L100" s="516"/>
      <c r="M100" s="516"/>
      <c r="N100" s="168"/>
      <c r="O100" s="3"/>
      <c r="P100" s="168"/>
      <c r="Q100" s="168"/>
      <c r="R100" s="168"/>
    </row>
    <row r="101" spans="1:18" ht="12" customHeight="1" hidden="1" outlineLevel="2">
      <c r="A101" s="90"/>
      <c r="B101" s="68">
        <v>637004</v>
      </c>
      <c r="C101" s="69" t="s">
        <v>95</v>
      </c>
      <c r="D101" s="78">
        <v>35</v>
      </c>
      <c r="E101" s="93"/>
      <c r="F101" s="103">
        <f t="shared" si="8"/>
        <v>35</v>
      </c>
      <c r="G101" s="5">
        <v>22</v>
      </c>
      <c r="H101" s="161">
        <f t="shared" si="9"/>
        <v>0.6285714285714286</v>
      </c>
      <c r="I101" s="3">
        <v>35</v>
      </c>
      <c r="K101" s="100"/>
      <c r="L101" s="516"/>
      <c r="M101" s="516"/>
      <c r="N101" s="168"/>
      <c r="O101" s="3"/>
      <c r="P101" s="168"/>
      <c r="Q101" s="168"/>
      <c r="R101" s="168"/>
    </row>
    <row r="102" spans="1:18" ht="12" customHeight="1" hidden="1" outlineLevel="2">
      <c r="A102" s="90"/>
      <c r="B102" s="68">
        <v>637005</v>
      </c>
      <c r="C102" s="69" t="s">
        <v>96</v>
      </c>
      <c r="D102" s="92">
        <f>26+5</f>
        <v>31</v>
      </c>
      <c r="E102" s="93"/>
      <c r="F102" s="103">
        <f t="shared" si="8"/>
        <v>31</v>
      </c>
      <c r="G102" s="5">
        <v>11</v>
      </c>
      <c r="H102" s="161">
        <f t="shared" si="9"/>
        <v>0.3548387096774194</v>
      </c>
      <c r="I102" s="5">
        <v>15</v>
      </c>
      <c r="K102" s="100"/>
      <c r="L102" s="516"/>
      <c r="M102" s="516"/>
      <c r="N102" s="169"/>
      <c r="O102" s="3"/>
      <c r="P102" s="169"/>
      <c r="Q102" s="169"/>
      <c r="R102" s="168"/>
    </row>
    <row r="103" spans="1:18" ht="12" customHeight="1" hidden="1" outlineLevel="2">
      <c r="A103" s="90"/>
      <c r="B103" s="68">
        <v>637012</v>
      </c>
      <c r="C103" s="69" t="s">
        <v>97</v>
      </c>
      <c r="D103" s="78">
        <v>20</v>
      </c>
      <c r="E103" s="93"/>
      <c r="F103" s="103">
        <f t="shared" si="8"/>
        <v>20</v>
      </c>
      <c r="G103" s="5">
        <v>0</v>
      </c>
      <c r="H103" s="161">
        <f t="shared" si="9"/>
        <v>0</v>
      </c>
      <c r="I103" s="3">
        <v>45</v>
      </c>
      <c r="K103" s="100"/>
      <c r="L103" s="516"/>
      <c r="M103" s="516"/>
      <c r="N103" s="168"/>
      <c r="O103" s="3"/>
      <c r="P103" s="168"/>
      <c r="Q103" s="168"/>
      <c r="R103" s="168"/>
    </row>
    <row r="104" spans="1:18" ht="12" customHeight="1" hidden="1" outlineLevel="2">
      <c r="A104" s="90"/>
      <c r="B104" s="68">
        <v>637014</v>
      </c>
      <c r="C104" s="69" t="s">
        <v>98</v>
      </c>
      <c r="D104" s="92">
        <v>120</v>
      </c>
      <c r="E104" s="93"/>
      <c r="F104" s="103">
        <f t="shared" si="8"/>
        <v>120</v>
      </c>
      <c r="G104" s="5">
        <v>124</v>
      </c>
      <c r="H104" s="161">
        <f t="shared" si="9"/>
        <v>1.0333333333333334</v>
      </c>
      <c r="I104" s="5">
        <v>170</v>
      </c>
      <c r="K104" s="100"/>
      <c r="L104" s="516"/>
      <c r="M104" s="516"/>
      <c r="N104" s="169"/>
      <c r="O104" s="3"/>
      <c r="P104" s="169"/>
      <c r="Q104" s="169"/>
      <c r="R104" s="168"/>
    </row>
    <row r="105" spans="1:18" ht="12" customHeight="1" hidden="1" outlineLevel="2">
      <c r="A105" s="90"/>
      <c r="B105" s="68">
        <v>637015</v>
      </c>
      <c r="C105" s="69" t="s">
        <v>99</v>
      </c>
      <c r="D105" s="78">
        <v>100</v>
      </c>
      <c r="E105" s="93"/>
      <c r="F105" s="103">
        <f t="shared" si="8"/>
        <v>100</v>
      </c>
      <c r="G105" s="5">
        <v>34</v>
      </c>
      <c r="H105" s="161">
        <f t="shared" si="9"/>
        <v>0.34</v>
      </c>
      <c r="I105" s="3">
        <v>100</v>
      </c>
      <c r="K105" s="100"/>
      <c r="L105" s="516"/>
      <c r="M105" s="516"/>
      <c r="N105" s="168"/>
      <c r="O105" s="3"/>
      <c r="P105" s="168"/>
      <c r="Q105" s="168"/>
      <c r="R105" s="168"/>
    </row>
    <row r="106" spans="1:18" ht="12" customHeight="1" hidden="1" outlineLevel="2">
      <c r="A106" s="90"/>
      <c r="B106" s="68">
        <v>637016</v>
      </c>
      <c r="C106" s="69" t="s">
        <v>100</v>
      </c>
      <c r="D106" s="78">
        <v>65</v>
      </c>
      <c r="E106" s="93"/>
      <c r="F106" s="103">
        <f t="shared" si="8"/>
        <v>65</v>
      </c>
      <c r="G106" s="5">
        <v>38</v>
      </c>
      <c r="H106" s="161">
        <f t="shared" si="9"/>
        <v>0.5846153846153846</v>
      </c>
      <c r="I106" s="3">
        <v>65</v>
      </c>
      <c r="K106" s="100"/>
      <c r="L106" s="516"/>
      <c r="M106" s="516"/>
      <c r="N106" s="168"/>
      <c r="O106" s="3"/>
      <c r="P106" s="168"/>
      <c r="Q106" s="168"/>
      <c r="R106" s="168"/>
    </row>
    <row r="107" spans="1:18" ht="12" customHeight="1" hidden="1" outlineLevel="2">
      <c r="A107" s="90"/>
      <c r="B107" s="68">
        <v>637026</v>
      </c>
      <c r="C107" s="69" t="s">
        <v>101</v>
      </c>
      <c r="D107" s="78">
        <v>20</v>
      </c>
      <c r="E107" s="93"/>
      <c r="F107" s="103">
        <f t="shared" si="8"/>
        <v>20</v>
      </c>
      <c r="G107" s="5">
        <v>20</v>
      </c>
      <c r="H107" s="161">
        <f t="shared" si="9"/>
        <v>1</v>
      </c>
      <c r="I107" s="3">
        <v>25</v>
      </c>
      <c r="K107" s="100"/>
      <c r="L107" s="516"/>
      <c r="M107" s="516"/>
      <c r="N107" s="168"/>
      <c r="O107" s="3"/>
      <c r="P107" s="168"/>
      <c r="Q107" s="168"/>
      <c r="R107" s="168"/>
    </row>
    <row r="108" spans="1:18" ht="12" customHeight="1" hidden="1" outlineLevel="2">
      <c r="A108" s="90"/>
      <c r="B108" s="68">
        <v>637027</v>
      </c>
      <c r="C108" s="69" t="s">
        <v>102</v>
      </c>
      <c r="D108" s="78">
        <v>100</v>
      </c>
      <c r="E108" s="93"/>
      <c r="F108" s="103">
        <f t="shared" si="8"/>
        <v>100</v>
      </c>
      <c r="G108" s="5">
        <v>84</v>
      </c>
      <c r="H108" s="161">
        <f t="shared" si="9"/>
        <v>0.84</v>
      </c>
      <c r="I108" s="3">
        <v>130</v>
      </c>
      <c r="K108" s="100"/>
      <c r="L108" s="516"/>
      <c r="M108" s="516"/>
      <c r="N108" s="168"/>
      <c r="O108" s="3"/>
      <c r="P108" s="168"/>
      <c r="Q108" s="168"/>
      <c r="R108" s="168"/>
    </row>
    <row r="109" spans="1:18" ht="12" customHeight="1" outlineLevel="2">
      <c r="A109" s="90"/>
      <c r="B109" s="68">
        <v>637005</v>
      </c>
      <c r="C109" s="69" t="s">
        <v>301</v>
      </c>
      <c r="D109" s="105"/>
      <c r="E109" s="93"/>
      <c r="F109" s="105"/>
      <c r="G109" s="93"/>
      <c r="H109" s="123"/>
      <c r="I109" s="3"/>
      <c r="K109" s="100"/>
      <c r="L109" s="516">
        <v>500</v>
      </c>
      <c r="M109" s="516">
        <v>0</v>
      </c>
      <c r="N109" s="168">
        <v>0</v>
      </c>
      <c r="O109" s="3">
        <v>227</v>
      </c>
      <c r="P109" s="168">
        <v>0</v>
      </c>
      <c r="Q109" s="168">
        <v>0</v>
      </c>
      <c r="R109" s="168">
        <v>0</v>
      </c>
    </row>
    <row r="110" spans="1:18" ht="12" customHeight="1" outlineLevel="2">
      <c r="A110" s="90"/>
      <c r="B110" s="68">
        <v>637005</v>
      </c>
      <c r="C110" s="69" t="s">
        <v>390</v>
      </c>
      <c r="D110" s="105"/>
      <c r="E110" s="93"/>
      <c r="F110" s="105"/>
      <c r="G110" s="93"/>
      <c r="H110" s="123"/>
      <c r="I110" s="3"/>
      <c r="K110" s="100"/>
      <c r="L110" s="516">
        <v>0</v>
      </c>
      <c r="M110" s="516">
        <v>300</v>
      </c>
      <c r="N110" s="168">
        <v>360</v>
      </c>
      <c r="O110" s="3">
        <v>360</v>
      </c>
      <c r="P110" s="168">
        <v>360</v>
      </c>
      <c r="Q110" s="168">
        <v>360</v>
      </c>
      <c r="R110" s="168">
        <v>360</v>
      </c>
    </row>
    <row r="111" spans="1:18" ht="12" customHeight="1" outlineLevel="2">
      <c r="A111" s="90"/>
      <c r="B111" s="68">
        <v>637005</v>
      </c>
      <c r="C111" s="69" t="s">
        <v>315</v>
      </c>
      <c r="D111" s="105"/>
      <c r="E111" s="93"/>
      <c r="F111" s="105"/>
      <c r="G111" s="93"/>
      <c r="H111" s="123"/>
      <c r="I111" s="3"/>
      <c r="K111" s="100"/>
      <c r="L111" s="516">
        <v>0</v>
      </c>
      <c r="M111" s="516">
        <v>138</v>
      </c>
      <c r="N111" s="168">
        <v>0</v>
      </c>
      <c r="O111" s="3">
        <v>0</v>
      </c>
      <c r="P111" s="168">
        <v>0</v>
      </c>
      <c r="Q111" s="168">
        <v>0</v>
      </c>
      <c r="R111" s="168">
        <v>0</v>
      </c>
    </row>
    <row r="112" spans="1:18" ht="12" customHeight="1" outlineLevel="2">
      <c r="A112" s="394"/>
      <c r="B112" s="68">
        <v>637005</v>
      </c>
      <c r="C112" s="69" t="s">
        <v>168</v>
      </c>
      <c r="D112" s="105"/>
      <c r="E112" s="93"/>
      <c r="F112" s="105"/>
      <c r="G112" s="93"/>
      <c r="H112" s="123"/>
      <c r="I112" s="3"/>
      <c r="K112" s="100"/>
      <c r="L112" s="516">
        <v>643.48</v>
      </c>
      <c r="M112" s="516">
        <v>633.5</v>
      </c>
      <c r="N112" s="168">
        <v>650</v>
      </c>
      <c r="O112" s="3">
        <v>823</v>
      </c>
      <c r="P112" s="168">
        <v>823</v>
      </c>
      <c r="Q112" s="168">
        <v>823</v>
      </c>
      <c r="R112" s="168">
        <v>823</v>
      </c>
    </row>
    <row r="113" spans="1:18" ht="12" customHeight="1" outlineLevel="2">
      <c r="A113" s="394"/>
      <c r="B113" s="68">
        <v>637005</v>
      </c>
      <c r="C113" s="69" t="s">
        <v>379</v>
      </c>
      <c r="D113" s="105"/>
      <c r="E113" s="93"/>
      <c r="F113" s="105"/>
      <c r="G113" s="93"/>
      <c r="H113" s="123"/>
      <c r="I113" s="3"/>
      <c r="K113" s="100"/>
      <c r="L113" s="516">
        <v>0</v>
      </c>
      <c r="M113" s="516">
        <v>0</v>
      </c>
      <c r="N113" s="168">
        <v>0</v>
      </c>
      <c r="O113" s="3">
        <v>700</v>
      </c>
      <c r="P113" s="168">
        <v>500</v>
      </c>
      <c r="Q113" s="168">
        <v>300</v>
      </c>
      <c r="R113" s="168">
        <v>300</v>
      </c>
    </row>
    <row r="114" spans="1:18" ht="12" customHeight="1" outlineLevel="2">
      <c r="A114" s="394"/>
      <c r="B114" s="68">
        <v>637006</v>
      </c>
      <c r="C114" s="69" t="s">
        <v>341</v>
      </c>
      <c r="D114" s="105"/>
      <c r="E114" s="93"/>
      <c r="F114" s="105"/>
      <c r="G114" s="93"/>
      <c r="H114" s="123"/>
      <c r="I114" s="3"/>
      <c r="K114" s="100"/>
      <c r="L114" s="516">
        <v>87.3</v>
      </c>
      <c r="M114" s="516">
        <v>0</v>
      </c>
      <c r="N114" s="168">
        <v>0</v>
      </c>
      <c r="O114" s="3">
        <v>0</v>
      </c>
      <c r="P114" s="168">
        <v>0</v>
      </c>
      <c r="Q114" s="168">
        <v>0</v>
      </c>
      <c r="R114" s="168">
        <v>0</v>
      </c>
    </row>
    <row r="115" spans="1:18" ht="12" customHeight="1" outlineLevel="2">
      <c r="A115" s="394"/>
      <c r="B115" s="68">
        <v>637011</v>
      </c>
      <c r="C115" s="69" t="s">
        <v>277</v>
      </c>
      <c r="D115" s="105"/>
      <c r="E115" s="93"/>
      <c r="F115" s="105"/>
      <c r="G115" s="93"/>
      <c r="H115" s="123"/>
      <c r="I115" s="3"/>
      <c r="K115" s="100"/>
      <c r="L115" s="516">
        <v>0</v>
      </c>
      <c r="M115" s="516">
        <v>0</v>
      </c>
      <c r="N115" s="168">
        <v>0</v>
      </c>
      <c r="O115" s="3">
        <v>0</v>
      </c>
      <c r="P115" s="168">
        <v>0</v>
      </c>
      <c r="Q115" s="168">
        <v>0</v>
      </c>
      <c r="R115" s="168">
        <v>0</v>
      </c>
    </row>
    <row r="116" spans="1:18" ht="12" customHeight="1" outlineLevel="2">
      <c r="A116" s="394"/>
      <c r="B116" s="68">
        <v>637012</v>
      </c>
      <c r="C116" s="69" t="s">
        <v>218</v>
      </c>
      <c r="D116" s="105"/>
      <c r="E116" s="93"/>
      <c r="F116" s="105"/>
      <c r="G116" s="93"/>
      <c r="H116" s="123"/>
      <c r="I116" s="3"/>
      <c r="K116" s="100"/>
      <c r="L116" s="516">
        <v>16.5</v>
      </c>
      <c r="M116" s="516">
        <v>127.5</v>
      </c>
      <c r="N116" s="168">
        <v>100</v>
      </c>
      <c r="O116" s="3">
        <v>20</v>
      </c>
      <c r="P116" s="168">
        <v>100</v>
      </c>
      <c r="Q116" s="168">
        <v>100</v>
      </c>
      <c r="R116" s="168">
        <v>100</v>
      </c>
    </row>
    <row r="117" spans="1:18" ht="12" customHeight="1" outlineLevel="2">
      <c r="A117" s="90"/>
      <c r="B117" s="68">
        <v>637012</v>
      </c>
      <c r="C117" s="69" t="s">
        <v>400</v>
      </c>
      <c r="D117" s="105"/>
      <c r="E117" s="93"/>
      <c r="F117" s="105"/>
      <c r="G117" s="93"/>
      <c r="H117" s="123"/>
      <c r="I117" s="3"/>
      <c r="K117" s="100"/>
      <c r="L117" s="516">
        <v>780.13</v>
      </c>
      <c r="M117" s="516">
        <v>972.19</v>
      </c>
      <c r="N117" s="168">
        <v>800</v>
      </c>
      <c r="O117" s="3">
        <v>800</v>
      </c>
      <c r="P117" s="168">
        <v>800</v>
      </c>
      <c r="Q117" s="168">
        <v>850</v>
      </c>
      <c r="R117" s="168">
        <v>850</v>
      </c>
    </row>
    <row r="118" spans="1:18" ht="12" customHeight="1" outlineLevel="2">
      <c r="A118" s="90"/>
      <c r="B118" s="68">
        <v>637012</v>
      </c>
      <c r="C118" s="69" t="s">
        <v>247</v>
      </c>
      <c r="D118" s="105"/>
      <c r="E118" s="93"/>
      <c r="F118" s="105"/>
      <c r="G118" s="93"/>
      <c r="H118" s="123"/>
      <c r="I118" s="3"/>
      <c r="K118" s="100"/>
      <c r="L118" s="516">
        <v>56.78</v>
      </c>
      <c r="M118" s="516">
        <v>55.68</v>
      </c>
      <c r="N118" s="168">
        <v>56</v>
      </c>
      <c r="O118" s="3">
        <v>56</v>
      </c>
      <c r="P118" s="168">
        <v>56</v>
      </c>
      <c r="Q118" s="168">
        <v>56</v>
      </c>
      <c r="R118" s="168">
        <v>56</v>
      </c>
    </row>
    <row r="119" spans="1:19" ht="12" customHeight="1" outlineLevel="2">
      <c r="A119" s="90"/>
      <c r="B119" s="68">
        <v>637014</v>
      </c>
      <c r="C119" s="69" t="s">
        <v>98</v>
      </c>
      <c r="D119" s="105"/>
      <c r="E119" s="93"/>
      <c r="F119" s="105"/>
      <c r="G119" s="93"/>
      <c r="H119" s="123"/>
      <c r="I119" s="3"/>
      <c r="K119" s="100"/>
      <c r="L119" s="491">
        <v>307.27</v>
      </c>
      <c r="M119" s="491">
        <v>1075.14</v>
      </c>
      <c r="N119" s="3">
        <v>500</v>
      </c>
      <c r="O119" s="3">
        <v>900</v>
      </c>
      <c r="P119" s="3">
        <v>900</v>
      </c>
      <c r="Q119" s="3">
        <v>900</v>
      </c>
      <c r="R119" s="3">
        <v>900</v>
      </c>
      <c r="S119" s="589"/>
    </row>
    <row r="120" spans="1:18" ht="12" customHeight="1" outlineLevel="2">
      <c r="A120" s="90"/>
      <c r="B120" s="68">
        <v>637014</v>
      </c>
      <c r="C120" s="69" t="s">
        <v>226</v>
      </c>
      <c r="D120" s="105"/>
      <c r="E120" s="93"/>
      <c r="F120" s="105"/>
      <c r="G120" s="93"/>
      <c r="H120" s="123"/>
      <c r="I120" s="3"/>
      <c r="K120" s="100"/>
      <c r="L120" s="491">
        <v>515.6</v>
      </c>
      <c r="M120" s="491">
        <v>670.9</v>
      </c>
      <c r="N120" s="3">
        <v>1000</v>
      </c>
      <c r="O120" s="3">
        <v>1000</v>
      </c>
      <c r="P120" s="3">
        <v>1000</v>
      </c>
      <c r="Q120" s="3">
        <v>1000</v>
      </c>
      <c r="R120" s="3">
        <v>1000</v>
      </c>
    </row>
    <row r="121" spans="1:18" ht="12" customHeight="1" outlineLevel="2">
      <c r="A121" s="90"/>
      <c r="B121" s="68">
        <v>637015</v>
      </c>
      <c r="C121" s="69" t="s">
        <v>169</v>
      </c>
      <c r="D121" s="105"/>
      <c r="E121" s="93"/>
      <c r="F121" s="105"/>
      <c r="G121" s="93"/>
      <c r="H121" s="123"/>
      <c r="I121" s="3"/>
      <c r="K121" s="100"/>
      <c r="L121" s="516">
        <v>589.24</v>
      </c>
      <c r="M121" s="516">
        <v>915.27</v>
      </c>
      <c r="N121" s="168">
        <v>1810</v>
      </c>
      <c r="O121" s="3">
        <v>1885</v>
      </c>
      <c r="P121" s="168">
        <v>1895</v>
      </c>
      <c r="Q121" s="168">
        <v>1895</v>
      </c>
      <c r="R121" s="168">
        <v>1895</v>
      </c>
    </row>
    <row r="122" spans="1:19" ht="12" customHeight="1" outlineLevel="2">
      <c r="A122" s="90"/>
      <c r="B122" s="68">
        <v>637016</v>
      </c>
      <c r="C122" s="69" t="s">
        <v>170</v>
      </c>
      <c r="D122" s="105"/>
      <c r="E122" s="93"/>
      <c r="F122" s="105"/>
      <c r="G122" s="93"/>
      <c r="H122" s="123"/>
      <c r="I122" s="3"/>
      <c r="K122" s="100"/>
      <c r="L122" s="516">
        <v>171.43</v>
      </c>
      <c r="M122" s="516">
        <v>432.04</v>
      </c>
      <c r="N122" s="168">
        <v>0</v>
      </c>
      <c r="O122" s="3">
        <v>0</v>
      </c>
      <c r="P122" s="168">
        <v>0</v>
      </c>
      <c r="Q122" s="168">
        <v>0</v>
      </c>
      <c r="R122" s="168">
        <v>0</v>
      </c>
      <c r="S122" s="589"/>
    </row>
    <row r="123" spans="1:18" ht="12" customHeight="1" outlineLevel="2">
      <c r="A123" s="90"/>
      <c r="B123" s="68">
        <v>637023</v>
      </c>
      <c r="C123" s="69" t="s">
        <v>171</v>
      </c>
      <c r="D123" s="105"/>
      <c r="E123" s="93"/>
      <c r="F123" s="105"/>
      <c r="G123" s="93"/>
      <c r="H123" s="123"/>
      <c r="I123" s="3"/>
      <c r="K123" s="100"/>
      <c r="L123" s="516">
        <v>0</v>
      </c>
      <c r="M123" s="516">
        <v>238</v>
      </c>
      <c r="N123" s="168">
        <v>50</v>
      </c>
      <c r="O123" s="3">
        <v>50</v>
      </c>
      <c r="P123" s="168">
        <v>50</v>
      </c>
      <c r="Q123" s="168">
        <v>50</v>
      </c>
      <c r="R123" s="168">
        <v>50</v>
      </c>
    </row>
    <row r="124" spans="1:18" ht="12" customHeight="1" outlineLevel="2">
      <c r="A124" s="90"/>
      <c r="B124" s="68">
        <v>637026</v>
      </c>
      <c r="C124" s="69" t="s">
        <v>224</v>
      </c>
      <c r="D124" s="105"/>
      <c r="E124" s="93"/>
      <c r="F124" s="105"/>
      <c r="G124" s="93"/>
      <c r="H124" s="123"/>
      <c r="I124" s="3"/>
      <c r="K124" s="100"/>
      <c r="L124" s="516">
        <v>317</v>
      </c>
      <c r="M124" s="516">
        <v>324</v>
      </c>
      <c r="N124" s="168">
        <v>900</v>
      </c>
      <c r="O124" s="3">
        <v>900</v>
      </c>
      <c r="P124" s="168">
        <v>900</v>
      </c>
      <c r="Q124" s="168">
        <v>900</v>
      </c>
      <c r="R124" s="168">
        <v>900</v>
      </c>
    </row>
    <row r="125" spans="1:18" ht="12" customHeight="1" outlineLevel="2">
      <c r="A125" s="90"/>
      <c r="B125" s="68">
        <v>637027</v>
      </c>
      <c r="C125" s="69" t="s">
        <v>172</v>
      </c>
      <c r="D125" s="105"/>
      <c r="E125" s="93"/>
      <c r="F125" s="105"/>
      <c r="G125" s="93"/>
      <c r="H125" s="123"/>
      <c r="I125" s="3"/>
      <c r="K125" s="100"/>
      <c r="L125" s="516">
        <v>171.36</v>
      </c>
      <c r="M125" s="516">
        <v>157.5</v>
      </c>
      <c r="N125" s="168">
        <v>200</v>
      </c>
      <c r="O125" s="3">
        <v>158</v>
      </c>
      <c r="P125" s="168">
        <v>200</v>
      </c>
      <c r="Q125" s="168">
        <v>220</v>
      </c>
      <c r="R125" s="168">
        <v>220</v>
      </c>
    </row>
    <row r="126" spans="1:18" ht="12" customHeight="1" outlineLevel="2">
      <c r="A126" s="90"/>
      <c r="B126" s="346">
        <v>640</v>
      </c>
      <c r="C126" s="540" t="s">
        <v>324</v>
      </c>
      <c r="D126" s="105"/>
      <c r="E126" s="93"/>
      <c r="F126" s="105"/>
      <c r="G126" s="93"/>
      <c r="H126" s="123"/>
      <c r="I126" s="3"/>
      <c r="K126" s="100"/>
      <c r="L126" s="515">
        <f aca="true" t="shared" si="10" ref="L126:R126">SUM(L127:L133)</f>
        <v>457.89</v>
      </c>
      <c r="M126" s="515">
        <f t="shared" si="10"/>
        <v>1812.8</v>
      </c>
      <c r="N126" s="167">
        <f t="shared" si="10"/>
        <v>2082</v>
      </c>
      <c r="O126" s="167">
        <f t="shared" si="10"/>
        <v>1967</v>
      </c>
      <c r="P126" s="167">
        <f t="shared" si="10"/>
        <v>1920</v>
      </c>
      <c r="Q126" s="167">
        <f t="shared" si="10"/>
        <v>1617</v>
      </c>
      <c r="R126" s="167">
        <f t="shared" si="10"/>
        <v>1617</v>
      </c>
    </row>
    <row r="127" spans="1:18" ht="12" customHeight="1" outlineLevel="2">
      <c r="A127" s="90"/>
      <c r="B127" s="68">
        <v>641009</v>
      </c>
      <c r="C127" s="69" t="s">
        <v>267</v>
      </c>
      <c r="D127" s="105"/>
      <c r="E127" s="93"/>
      <c r="F127" s="105"/>
      <c r="G127" s="93"/>
      <c r="H127" s="123"/>
      <c r="I127" s="3"/>
      <c r="K127" s="100"/>
      <c r="L127" s="516">
        <v>174</v>
      </c>
      <c r="M127" s="516">
        <v>178.8</v>
      </c>
      <c r="N127" s="168">
        <v>250</v>
      </c>
      <c r="O127" s="168">
        <v>250</v>
      </c>
      <c r="P127" s="168">
        <v>250</v>
      </c>
      <c r="Q127" s="168">
        <v>250</v>
      </c>
      <c r="R127" s="168">
        <v>250</v>
      </c>
    </row>
    <row r="128" spans="1:18" ht="12" customHeight="1" outlineLevel="2">
      <c r="A128" s="90"/>
      <c r="B128" s="68">
        <v>641013</v>
      </c>
      <c r="C128" s="69" t="s">
        <v>336</v>
      </c>
      <c r="D128" s="93"/>
      <c r="E128" s="93"/>
      <c r="F128" s="93"/>
      <c r="G128" s="93"/>
      <c r="H128" s="123"/>
      <c r="I128" s="5"/>
      <c r="J128" s="390"/>
      <c r="K128" s="390"/>
      <c r="L128" s="5">
        <v>0</v>
      </c>
      <c r="M128" s="5">
        <v>335.01</v>
      </c>
      <c r="N128" s="5">
        <v>650</v>
      </c>
      <c r="O128" s="3">
        <v>650</v>
      </c>
      <c r="P128" s="5">
        <v>650</v>
      </c>
      <c r="Q128" s="5">
        <v>350</v>
      </c>
      <c r="R128" s="5">
        <v>350</v>
      </c>
    </row>
    <row r="129" spans="1:18" ht="12" customHeight="1" outlineLevel="2">
      <c r="A129" s="90"/>
      <c r="B129" s="68">
        <v>642001</v>
      </c>
      <c r="C129" s="69" t="s">
        <v>392</v>
      </c>
      <c r="D129" s="93"/>
      <c r="E129" s="93"/>
      <c r="F129" s="93"/>
      <c r="G129" s="93"/>
      <c r="H129" s="123"/>
      <c r="I129" s="5"/>
      <c r="J129" s="390"/>
      <c r="K129" s="390"/>
      <c r="L129" s="5">
        <v>0</v>
      </c>
      <c r="M129" s="592">
        <v>0</v>
      </c>
      <c r="N129" s="5">
        <v>0</v>
      </c>
      <c r="O129" s="3">
        <v>350</v>
      </c>
      <c r="P129" s="5">
        <v>300</v>
      </c>
      <c r="Q129" s="5">
        <v>300</v>
      </c>
      <c r="R129" s="5">
        <v>300</v>
      </c>
    </row>
    <row r="130" spans="1:19" ht="12" customHeight="1" outlineLevel="2">
      <c r="A130" s="90"/>
      <c r="B130" s="68">
        <v>642002</v>
      </c>
      <c r="C130" s="69" t="s">
        <v>268</v>
      </c>
      <c r="D130" s="105"/>
      <c r="E130" s="93"/>
      <c r="F130" s="105"/>
      <c r="G130" s="93"/>
      <c r="H130" s="123"/>
      <c r="I130" s="3"/>
      <c r="K130" s="100"/>
      <c r="L130" s="516">
        <v>60</v>
      </c>
      <c r="M130" s="516">
        <v>180.9</v>
      </c>
      <c r="N130" s="168">
        <v>62</v>
      </c>
      <c r="O130" s="3">
        <v>185</v>
      </c>
      <c r="P130" s="168">
        <v>185</v>
      </c>
      <c r="Q130" s="168">
        <v>185</v>
      </c>
      <c r="R130" s="168">
        <v>185</v>
      </c>
      <c r="S130" s="578"/>
    </row>
    <row r="131" spans="1:18" ht="12" customHeight="1" outlineLevel="2">
      <c r="A131" s="90"/>
      <c r="B131" s="68">
        <v>642002</v>
      </c>
      <c r="C131" s="69" t="s">
        <v>173</v>
      </c>
      <c r="D131" s="105"/>
      <c r="E131" s="93"/>
      <c r="F131" s="105"/>
      <c r="G131" s="93"/>
      <c r="H131" s="123"/>
      <c r="I131" s="3"/>
      <c r="K131" s="100"/>
      <c r="L131" s="516">
        <v>99.27</v>
      </c>
      <c r="M131" s="516">
        <v>100.65</v>
      </c>
      <c r="N131" s="168">
        <v>101</v>
      </c>
      <c r="O131" s="3">
        <v>99</v>
      </c>
      <c r="P131" s="168">
        <v>102</v>
      </c>
      <c r="Q131" s="168">
        <v>99</v>
      </c>
      <c r="R131" s="168">
        <v>99</v>
      </c>
    </row>
    <row r="132" spans="1:18" ht="12" customHeight="1" outlineLevel="2">
      <c r="A132" s="90"/>
      <c r="B132" s="68">
        <v>642002</v>
      </c>
      <c r="C132" s="69" t="s">
        <v>252</v>
      </c>
      <c r="D132" s="105"/>
      <c r="E132" s="93"/>
      <c r="F132" s="105"/>
      <c r="G132" s="93"/>
      <c r="H132" s="123"/>
      <c r="I132" s="3"/>
      <c r="K132" s="100"/>
      <c r="L132" s="516">
        <v>124.62</v>
      </c>
      <c r="M132" s="516">
        <v>123.44</v>
      </c>
      <c r="N132" s="168">
        <v>125</v>
      </c>
      <c r="O132" s="3">
        <v>125</v>
      </c>
      <c r="P132" s="168">
        <v>125</v>
      </c>
      <c r="Q132" s="168">
        <v>125</v>
      </c>
      <c r="R132" s="168">
        <v>125</v>
      </c>
    </row>
    <row r="133" spans="1:19" ht="12" customHeight="1" outlineLevel="2">
      <c r="A133" s="90"/>
      <c r="B133" s="68">
        <v>642002</v>
      </c>
      <c r="C133" s="69" t="s">
        <v>354</v>
      </c>
      <c r="D133" s="105"/>
      <c r="E133" s="93"/>
      <c r="F133" s="105"/>
      <c r="G133" s="93"/>
      <c r="H133" s="123"/>
      <c r="I133" s="3"/>
      <c r="K133" s="100"/>
      <c r="L133" s="516">
        <v>0</v>
      </c>
      <c r="M133" s="516">
        <v>894</v>
      </c>
      <c r="N133" s="168">
        <v>894</v>
      </c>
      <c r="O133" s="3">
        <v>308</v>
      </c>
      <c r="P133" s="168">
        <v>308</v>
      </c>
      <c r="Q133" s="168">
        <v>308</v>
      </c>
      <c r="R133" s="168">
        <v>308</v>
      </c>
      <c r="S133" s="589"/>
    </row>
    <row r="134" spans="1:18" ht="12" customHeight="1">
      <c r="A134" s="319" t="s">
        <v>303</v>
      </c>
      <c r="B134" s="320"/>
      <c r="C134" s="321"/>
      <c r="D134" s="322">
        <f>SUM(D136:D137)</f>
        <v>68</v>
      </c>
      <c r="E134" s="323">
        <f>SUM(E136:E137)</f>
        <v>0</v>
      </c>
      <c r="F134" s="324">
        <f>+D134</f>
        <v>68</v>
      </c>
      <c r="G134" s="325">
        <f>SUM(G136:G137)</f>
        <v>45</v>
      </c>
      <c r="H134" s="326">
        <f>+G134/D134</f>
        <v>0.6617647058823529</v>
      </c>
      <c r="I134" s="325" t="e">
        <f>+I135+#REF!</f>
        <v>#REF!</v>
      </c>
      <c r="J134" s="328"/>
      <c r="K134" s="329"/>
      <c r="L134" s="538">
        <f aca="true" t="shared" si="11" ref="L134:R134">SUM(L135)</f>
        <v>2390.39</v>
      </c>
      <c r="M134" s="538">
        <f t="shared" si="11"/>
        <v>640</v>
      </c>
      <c r="N134" s="539">
        <f t="shared" si="11"/>
        <v>640</v>
      </c>
      <c r="O134" s="624">
        <f t="shared" si="11"/>
        <v>538</v>
      </c>
      <c r="P134" s="539">
        <f t="shared" si="11"/>
        <v>640</v>
      </c>
      <c r="Q134" s="539">
        <f t="shared" si="11"/>
        <v>640</v>
      </c>
      <c r="R134" s="539">
        <f t="shared" si="11"/>
        <v>640</v>
      </c>
    </row>
    <row r="135" spans="1:18" ht="12" customHeight="1">
      <c r="A135" s="117"/>
      <c r="B135" s="96"/>
      <c r="C135" s="69"/>
      <c r="D135" s="78"/>
      <c r="E135" s="105"/>
      <c r="F135" s="78"/>
      <c r="G135" s="3"/>
      <c r="H135" s="93"/>
      <c r="I135" s="3">
        <f>SUM(I136:I137)</f>
        <v>68</v>
      </c>
      <c r="K135" s="100"/>
      <c r="L135" s="491">
        <v>2390.39</v>
      </c>
      <c r="M135" s="491">
        <v>640</v>
      </c>
      <c r="N135" s="3">
        <v>640</v>
      </c>
      <c r="O135" s="3">
        <v>538</v>
      </c>
      <c r="P135" s="3">
        <v>640</v>
      </c>
      <c r="Q135" s="3">
        <v>640</v>
      </c>
      <c r="R135" s="3">
        <v>640</v>
      </c>
    </row>
    <row r="136" spans="1:18" ht="12" customHeight="1" hidden="1" outlineLevel="1">
      <c r="A136" s="90"/>
      <c r="B136" s="91">
        <v>611</v>
      </c>
      <c r="C136" s="69" t="s">
        <v>63</v>
      </c>
      <c r="D136" s="78">
        <v>58</v>
      </c>
      <c r="E136" s="93"/>
      <c r="F136" s="78">
        <f>+D136</f>
        <v>58</v>
      </c>
      <c r="G136" s="5">
        <v>44</v>
      </c>
      <c r="H136" s="123">
        <f>+G136/D136</f>
        <v>0.7586206896551724</v>
      </c>
      <c r="I136" s="3">
        <f>+F136</f>
        <v>58</v>
      </c>
      <c r="K136" s="100"/>
      <c r="L136" s="516"/>
      <c r="M136" s="516"/>
      <c r="N136" s="168"/>
      <c r="O136" s="3"/>
      <c r="P136" s="168"/>
      <c r="Q136" s="168"/>
      <c r="R136" s="168"/>
    </row>
    <row r="137" spans="1:18" ht="12" customHeight="1" hidden="1" outlineLevel="1">
      <c r="A137" s="90"/>
      <c r="B137" s="91">
        <v>614</v>
      </c>
      <c r="C137" s="69" t="s">
        <v>27</v>
      </c>
      <c r="D137" s="78">
        <v>10</v>
      </c>
      <c r="E137" s="93"/>
      <c r="F137" s="78">
        <f>+D137</f>
        <v>10</v>
      </c>
      <c r="G137" s="5">
        <v>1</v>
      </c>
      <c r="H137" s="123">
        <f>+G137/D137</f>
        <v>0.1</v>
      </c>
      <c r="I137" s="3">
        <f>+F137</f>
        <v>10</v>
      </c>
      <c r="K137" s="100"/>
      <c r="L137" s="516"/>
      <c r="M137" s="516"/>
      <c r="N137" s="168"/>
      <c r="O137" s="3"/>
      <c r="P137" s="168"/>
      <c r="Q137" s="168"/>
      <c r="R137" s="168"/>
    </row>
    <row r="138" spans="1:18" ht="12" customHeight="1" collapsed="1">
      <c r="A138" s="334" t="s">
        <v>127</v>
      </c>
      <c r="B138" s="335"/>
      <c r="C138" s="336"/>
      <c r="D138" s="322">
        <f>+D139+D140</f>
        <v>1193</v>
      </c>
      <c r="E138" s="323">
        <f>+E139+E140</f>
        <v>0</v>
      </c>
      <c r="F138" s="322">
        <f>+F139+F140</f>
        <v>1193</v>
      </c>
      <c r="G138" s="322" t="e">
        <f>+#REF!</f>
        <v>#REF!</v>
      </c>
      <c r="H138" s="323" t="e">
        <f>+#REF!</f>
        <v>#REF!</v>
      </c>
      <c r="I138" s="325" t="e">
        <f>+#REF!</f>
        <v>#REF!</v>
      </c>
      <c r="J138" s="328"/>
      <c r="K138" s="329"/>
      <c r="L138" s="519">
        <f aca="true" t="shared" si="12" ref="L138:R138">SUM(L139:L144)</f>
        <v>6510.16</v>
      </c>
      <c r="M138" s="519">
        <f t="shared" si="12"/>
        <v>6281.360000000001</v>
      </c>
      <c r="N138" s="327">
        <f t="shared" si="12"/>
        <v>6500</v>
      </c>
      <c r="O138" s="325">
        <f t="shared" si="12"/>
        <v>6491</v>
      </c>
      <c r="P138" s="327">
        <f t="shared" si="12"/>
        <v>5510</v>
      </c>
      <c r="Q138" s="327">
        <f t="shared" si="12"/>
        <v>5125</v>
      </c>
      <c r="R138" s="327">
        <f t="shared" si="12"/>
        <v>4800</v>
      </c>
    </row>
    <row r="139" spans="1:18" ht="12" customHeight="1" hidden="1" outlineLevel="1">
      <c r="A139" s="90"/>
      <c r="B139" s="68" t="s">
        <v>137</v>
      </c>
      <c r="C139" s="69" t="s">
        <v>103</v>
      </c>
      <c r="D139" s="78">
        <v>402</v>
      </c>
      <c r="E139" s="93"/>
      <c r="F139" s="78">
        <f>+D139</f>
        <v>402</v>
      </c>
      <c r="G139" s="5">
        <v>320</v>
      </c>
      <c r="H139" s="123">
        <f>+G139/D139</f>
        <v>0.7960199004975125</v>
      </c>
      <c r="I139" s="3">
        <f>+F139</f>
        <v>402</v>
      </c>
      <c r="K139" s="100"/>
      <c r="L139" s="491"/>
      <c r="M139" s="491"/>
      <c r="N139" s="3"/>
      <c r="O139" s="3"/>
      <c r="P139" s="3"/>
      <c r="Q139" s="3"/>
      <c r="R139" s="3"/>
    </row>
    <row r="140" spans="1:18" ht="12" customHeight="1" hidden="1" outlineLevel="1">
      <c r="A140" s="90"/>
      <c r="B140" s="68" t="s">
        <v>138</v>
      </c>
      <c r="C140" s="69" t="s">
        <v>103</v>
      </c>
      <c r="D140" s="78">
        <v>791</v>
      </c>
      <c r="E140" s="93"/>
      <c r="F140" s="78">
        <f>+D140</f>
        <v>791</v>
      </c>
      <c r="G140" s="5">
        <v>588</v>
      </c>
      <c r="H140" s="123">
        <f>+G140/D140</f>
        <v>0.7433628318584071</v>
      </c>
      <c r="I140" s="3">
        <f>+F140</f>
        <v>791</v>
      </c>
      <c r="K140" s="128"/>
      <c r="L140" s="491"/>
      <c r="M140" s="491"/>
      <c r="N140" s="3"/>
      <c r="O140" s="3"/>
      <c r="P140" s="3"/>
      <c r="Q140" s="3"/>
      <c r="R140" s="3"/>
    </row>
    <row r="141" spans="1:18" ht="12" customHeight="1" hidden="1" outlineLevel="1">
      <c r="A141" s="90"/>
      <c r="B141" s="68" t="s">
        <v>139</v>
      </c>
      <c r="C141" s="69" t="s">
        <v>103</v>
      </c>
      <c r="D141" s="78"/>
      <c r="E141" s="93"/>
      <c r="F141" s="78"/>
      <c r="G141" s="5"/>
      <c r="H141" s="123"/>
      <c r="I141" s="3">
        <v>0</v>
      </c>
      <c r="K141" s="100"/>
      <c r="L141" s="491"/>
      <c r="M141" s="491"/>
      <c r="N141" s="3"/>
      <c r="O141" s="3"/>
      <c r="P141" s="3"/>
      <c r="Q141" s="3"/>
      <c r="R141" s="3"/>
    </row>
    <row r="142" spans="1:19" ht="12" customHeight="1" outlineLevel="1">
      <c r="A142" s="90"/>
      <c r="B142" s="68">
        <v>651002</v>
      </c>
      <c r="C142" s="69" t="s">
        <v>191</v>
      </c>
      <c r="D142" s="78"/>
      <c r="E142" s="93"/>
      <c r="F142" s="78"/>
      <c r="G142" s="5"/>
      <c r="H142" s="123"/>
      <c r="I142" s="3"/>
      <c r="K142" s="100"/>
      <c r="L142" s="491">
        <v>606.3</v>
      </c>
      <c r="M142" s="491">
        <v>467.59</v>
      </c>
      <c r="N142" s="3">
        <v>475</v>
      </c>
      <c r="O142" s="3">
        <v>375</v>
      </c>
      <c r="P142" s="3">
        <v>250</v>
      </c>
      <c r="Q142" s="3">
        <v>225</v>
      </c>
      <c r="R142" s="3">
        <v>200</v>
      </c>
      <c r="S142" s="578"/>
    </row>
    <row r="143" spans="1:18" ht="12" customHeight="1" outlineLevel="1">
      <c r="A143" s="90"/>
      <c r="B143" s="68">
        <v>651002</v>
      </c>
      <c r="C143" s="69" t="s">
        <v>361</v>
      </c>
      <c r="D143" s="78"/>
      <c r="E143" s="93"/>
      <c r="F143" s="78"/>
      <c r="G143" s="5"/>
      <c r="H143" s="123"/>
      <c r="I143" s="3"/>
      <c r="K143" s="100"/>
      <c r="L143" s="491">
        <v>0</v>
      </c>
      <c r="M143" s="491">
        <v>118.34</v>
      </c>
      <c r="N143" s="3">
        <v>125</v>
      </c>
      <c r="O143" s="3">
        <v>216</v>
      </c>
      <c r="P143" s="3">
        <v>0</v>
      </c>
      <c r="Q143" s="3">
        <v>0</v>
      </c>
      <c r="R143" s="3">
        <v>0</v>
      </c>
    </row>
    <row r="144" spans="1:18" ht="12" customHeight="1" outlineLevel="1">
      <c r="A144" s="90"/>
      <c r="B144" s="68">
        <v>651003</v>
      </c>
      <c r="C144" s="69" t="s">
        <v>269</v>
      </c>
      <c r="D144" s="78"/>
      <c r="E144" s="93"/>
      <c r="F144" s="78"/>
      <c r="G144" s="5"/>
      <c r="H144" s="123"/>
      <c r="I144" s="3"/>
      <c r="K144" s="100"/>
      <c r="L144" s="491">
        <v>5903.86</v>
      </c>
      <c r="M144" s="491">
        <v>5695.43</v>
      </c>
      <c r="N144" s="3">
        <v>5900</v>
      </c>
      <c r="O144" s="3">
        <v>5900</v>
      </c>
      <c r="P144" s="3">
        <v>5260</v>
      </c>
      <c r="Q144" s="3">
        <v>4900</v>
      </c>
      <c r="R144" s="3">
        <v>4600</v>
      </c>
    </row>
    <row r="145" spans="1:18" ht="12" customHeight="1">
      <c r="A145" s="319" t="s">
        <v>128</v>
      </c>
      <c r="B145" s="320"/>
      <c r="C145" s="321"/>
      <c r="D145" s="322">
        <f>SUM(D146:D148)</f>
        <v>20</v>
      </c>
      <c r="E145" s="323">
        <f>SUM(E146:E148)</f>
        <v>0</v>
      </c>
      <c r="F145" s="322">
        <f>SUM(F146:F148)</f>
        <v>20</v>
      </c>
      <c r="G145" s="322" t="e">
        <f>+#REF!+#REF!+#REF!+#REF!+#REF!+#REF!</f>
        <v>#REF!</v>
      </c>
      <c r="H145" s="323" t="e">
        <f>+#REF!+#REF!+#REF!+#REF!+#REF!+#REF!</f>
        <v>#REF!</v>
      </c>
      <c r="I145" s="325" t="e">
        <f>+#REF!+#REF!+#REF!+#REF!+#REF!+#REF!</f>
        <v>#REF!</v>
      </c>
      <c r="J145" s="328"/>
      <c r="K145" s="329"/>
      <c r="L145" s="519">
        <f>SUM(L147:L148)</f>
        <v>4961.280000000001</v>
      </c>
      <c r="M145" s="519">
        <f>SUM(M147:M148)</f>
        <v>4032.49</v>
      </c>
      <c r="N145" s="327">
        <f>SUM(N147:N148)</f>
        <v>2000</v>
      </c>
      <c r="O145" s="325">
        <f>SUM(O147:O149)</f>
        <v>7764</v>
      </c>
      <c r="P145" s="327">
        <f>SUM(P147:P149)</f>
        <v>6000</v>
      </c>
      <c r="Q145" s="327">
        <f>SUM(Q147:Q149)</f>
        <v>6000</v>
      </c>
      <c r="R145" s="327">
        <f>SUM(R147:R149)</f>
        <v>6000</v>
      </c>
    </row>
    <row r="146" spans="1:18" ht="12" customHeight="1" hidden="1" outlineLevel="1">
      <c r="A146" s="90"/>
      <c r="B146" s="91" t="s">
        <v>8</v>
      </c>
      <c r="C146" s="69" t="s">
        <v>74</v>
      </c>
      <c r="D146" s="78">
        <v>20</v>
      </c>
      <c r="E146" s="93"/>
      <c r="F146" s="78">
        <f>+D146</f>
        <v>20</v>
      </c>
      <c r="G146" s="5">
        <v>20</v>
      </c>
      <c r="H146" s="123">
        <f>+G146/D146</f>
        <v>1</v>
      </c>
      <c r="I146" s="3">
        <v>25</v>
      </c>
      <c r="K146" s="100"/>
      <c r="L146" s="516"/>
      <c r="M146" s="516"/>
      <c r="N146" s="168"/>
      <c r="O146" s="168"/>
      <c r="P146" s="168"/>
      <c r="Q146" s="168"/>
      <c r="R146" s="168"/>
    </row>
    <row r="147" spans="1:18" ht="12" customHeight="1" outlineLevel="1">
      <c r="A147" s="90"/>
      <c r="B147" s="68">
        <v>6</v>
      </c>
      <c r="C147" s="69" t="s">
        <v>373</v>
      </c>
      <c r="D147" s="78"/>
      <c r="E147" s="93"/>
      <c r="F147" s="78"/>
      <c r="G147" s="124"/>
      <c r="H147" s="123"/>
      <c r="I147" s="3"/>
      <c r="K147" s="100"/>
      <c r="L147" s="516">
        <v>1167.4</v>
      </c>
      <c r="M147" s="516">
        <v>2125.9</v>
      </c>
      <c r="N147" s="168">
        <v>1000</v>
      </c>
      <c r="O147" s="168">
        <v>2764</v>
      </c>
      <c r="P147" s="168">
        <v>1000</v>
      </c>
      <c r="Q147" s="168">
        <v>1000</v>
      </c>
      <c r="R147" s="168">
        <v>1000</v>
      </c>
    </row>
    <row r="148" spans="1:18" ht="12" customHeight="1" outlineLevel="1">
      <c r="A148" s="90"/>
      <c r="B148" s="68">
        <v>6</v>
      </c>
      <c r="C148" s="69" t="s">
        <v>374</v>
      </c>
      <c r="D148" s="78"/>
      <c r="E148" s="93"/>
      <c r="F148" s="78"/>
      <c r="G148" s="124"/>
      <c r="H148" s="123"/>
      <c r="I148" s="3"/>
      <c r="K148" s="100"/>
      <c r="L148" s="516">
        <v>3793.88</v>
      </c>
      <c r="M148" s="516">
        <v>1906.59</v>
      </c>
      <c r="N148" s="168">
        <v>1000</v>
      </c>
      <c r="O148" s="168">
        <v>1000</v>
      </c>
      <c r="P148" s="168">
        <v>1000</v>
      </c>
      <c r="Q148" s="168">
        <v>1000</v>
      </c>
      <c r="R148" s="168">
        <v>1000</v>
      </c>
    </row>
    <row r="149" spans="1:18" ht="12" customHeight="1" outlineLevel="1">
      <c r="A149" s="90"/>
      <c r="B149" s="68"/>
      <c r="C149" s="69" t="s">
        <v>375</v>
      </c>
      <c r="D149" s="78"/>
      <c r="E149" s="93"/>
      <c r="F149" s="78"/>
      <c r="G149" s="124"/>
      <c r="H149" s="123"/>
      <c r="I149" s="3"/>
      <c r="K149" s="100"/>
      <c r="L149" s="516">
        <v>0</v>
      </c>
      <c r="M149" s="516">
        <v>0</v>
      </c>
      <c r="N149" s="168">
        <v>0</v>
      </c>
      <c r="O149" s="168">
        <v>4000</v>
      </c>
      <c r="P149" s="168">
        <v>4000</v>
      </c>
      <c r="Q149" s="168">
        <v>4000</v>
      </c>
      <c r="R149" s="168">
        <v>4000</v>
      </c>
    </row>
    <row r="150" spans="1:18" ht="12" customHeight="1">
      <c r="A150" s="319" t="s">
        <v>304</v>
      </c>
      <c r="B150" s="320"/>
      <c r="C150" s="321"/>
      <c r="D150" s="322" t="e">
        <f>+D152+#REF!</f>
        <v>#REF!</v>
      </c>
      <c r="E150" s="323" t="e">
        <f>+E152+#REF!</f>
        <v>#REF!</v>
      </c>
      <c r="F150" s="322" t="e">
        <f>+F152+#REF!</f>
        <v>#REF!</v>
      </c>
      <c r="G150" s="322" t="e">
        <f>+G151+#REF!</f>
        <v>#REF!</v>
      </c>
      <c r="H150" s="323" t="e">
        <f>+H151+#REF!</f>
        <v>#REF!</v>
      </c>
      <c r="I150" s="325" t="e">
        <f>+I151+#REF!</f>
        <v>#REF!</v>
      </c>
      <c r="J150" s="328"/>
      <c r="K150" s="329"/>
      <c r="L150" s="522">
        <f aca="true" t="shared" si="13" ref="L150:R150">SUM(L151:L163)</f>
        <v>39849.48999999999</v>
      </c>
      <c r="M150" s="522">
        <f t="shared" si="13"/>
        <v>41904.53999999999</v>
      </c>
      <c r="N150" s="421">
        <f t="shared" si="13"/>
        <v>6390</v>
      </c>
      <c r="O150" s="421">
        <f t="shared" si="13"/>
        <v>45010</v>
      </c>
      <c r="P150" s="421">
        <f t="shared" si="13"/>
        <v>1350</v>
      </c>
      <c r="Q150" s="333">
        <f t="shared" si="13"/>
        <v>0</v>
      </c>
      <c r="R150" s="421">
        <f t="shared" si="13"/>
        <v>0</v>
      </c>
    </row>
    <row r="151" spans="1:18" ht="12" customHeight="1">
      <c r="A151" s="117"/>
      <c r="B151" s="91">
        <v>610</v>
      </c>
      <c r="C151" s="69" t="s">
        <v>345</v>
      </c>
      <c r="D151" s="78"/>
      <c r="E151" s="105"/>
      <c r="F151" s="78"/>
      <c r="G151" s="78">
        <f>+G152</f>
        <v>64</v>
      </c>
      <c r="H151" s="103">
        <f>+H152</f>
        <v>0</v>
      </c>
      <c r="I151" s="3">
        <f>+I152</f>
        <v>90</v>
      </c>
      <c r="K151" s="100"/>
      <c r="L151" s="491">
        <v>0</v>
      </c>
      <c r="M151" s="491">
        <v>5220</v>
      </c>
      <c r="N151" s="3">
        <v>0</v>
      </c>
      <c r="O151" s="3">
        <v>0</v>
      </c>
      <c r="P151" s="3">
        <v>0</v>
      </c>
      <c r="Q151" s="168">
        <v>0</v>
      </c>
      <c r="R151" s="3">
        <v>0</v>
      </c>
    </row>
    <row r="152" spans="1:18" ht="12" customHeight="1" hidden="1" outlineLevel="1">
      <c r="A152" s="90"/>
      <c r="B152" s="91">
        <v>611</v>
      </c>
      <c r="C152" s="69" t="s">
        <v>63</v>
      </c>
      <c r="D152" s="78">
        <v>0</v>
      </c>
      <c r="E152" s="93"/>
      <c r="F152" s="78">
        <v>0</v>
      </c>
      <c r="G152" s="5">
        <v>64</v>
      </c>
      <c r="H152" s="123"/>
      <c r="I152" s="3">
        <v>90</v>
      </c>
      <c r="K152" s="100"/>
      <c r="L152" s="491"/>
      <c r="M152" s="491"/>
      <c r="N152" s="3"/>
      <c r="O152" s="3"/>
      <c r="P152" s="3"/>
      <c r="Q152" s="168"/>
      <c r="R152" s="3"/>
    </row>
    <row r="153" spans="1:18" ht="12" customHeight="1" collapsed="1">
      <c r="A153" s="90"/>
      <c r="B153" s="68">
        <v>620</v>
      </c>
      <c r="C153" s="69" t="s">
        <v>346</v>
      </c>
      <c r="D153" s="78"/>
      <c r="E153" s="93"/>
      <c r="F153" s="105"/>
      <c r="G153" s="124"/>
      <c r="H153" s="123"/>
      <c r="I153" s="3"/>
      <c r="K153" s="100"/>
      <c r="L153" s="491">
        <v>0</v>
      </c>
      <c r="M153" s="491">
        <v>1824.36</v>
      </c>
      <c r="N153" s="3">
        <v>0</v>
      </c>
      <c r="O153" s="3">
        <v>0</v>
      </c>
      <c r="P153" s="3">
        <v>0</v>
      </c>
      <c r="Q153" s="168">
        <v>0</v>
      </c>
      <c r="R153" s="3">
        <v>0</v>
      </c>
    </row>
    <row r="154" spans="1:18" ht="12" customHeight="1" hidden="1" outlineLevel="1">
      <c r="A154" s="90"/>
      <c r="B154" s="174">
        <v>620</v>
      </c>
      <c r="C154" s="172" t="s">
        <v>43</v>
      </c>
      <c r="D154" s="78"/>
      <c r="E154" s="93"/>
      <c r="F154" s="105"/>
      <c r="G154" s="124"/>
      <c r="H154" s="123"/>
      <c r="I154" s="3"/>
      <c r="K154" s="100"/>
      <c r="L154" s="516"/>
      <c r="M154" s="516"/>
      <c r="N154" s="168"/>
      <c r="O154" s="3"/>
      <c r="P154" s="168"/>
      <c r="Q154" s="168"/>
      <c r="R154" s="168"/>
    </row>
    <row r="155" spans="1:18" ht="12" customHeight="1" outlineLevel="1">
      <c r="A155" s="90"/>
      <c r="B155" s="174">
        <v>633006</v>
      </c>
      <c r="C155" s="69" t="s">
        <v>347</v>
      </c>
      <c r="D155" s="78"/>
      <c r="E155" s="93"/>
      <c r="F155" s="105"/>
      <c r="G155" s="124"/>
      <c r="H155" s="123"/>
      <c r="I155" s="3"/>
      <c r="K155" s="100"/>
      <c r="L155" s="516">
        <v>0</v>
      </c>
      <c r="M155" s="516">
        <v>118.8</v>
      </c>
      <c r="N155" s="168">
        <v>0</v>
      </c>
      <c r="O155" s="3">
        <v>0</v>
      </c>
      <c r="P155" s="168">
        <v>0</v>
      </c>
      <c r="Q155" s="168">
        <v>0</v>
      </c>
      <c r="R155" s="168">
        <v>0</v>
      </c>
    </row>
    <row r="156" spans="1:18" ht="12" customHeight="1" outlineLevel="1">
      <c r="A156" s="90"/>
      <c r="B156" s="174">
        <v>610</v>
      </c>
      <c r="C156" s="69" t="s">
        <v>238</v>
      </c>
      <c r="D156" s="78"/>
      <c r="E156" s="93"/>
      <c r="F156" s="105"/>
      <c r="G156" s="124"/>
      <c r="H156" s="123"/>
      <c r="I156" s="3"/>
      <c r="K156" s="100"/>
      <c r="L156" s="516">
        <v>24439.34</v>
      </c>
      <c r="M156" s="516">
        <v>19128.45</v>
      </c>
      <c r="N156" s="168">
        <v>0</v>
      </c>
      <c r="O156" s="3">
        <v>18120</v>
      </c>
      <c r="P156" s="168">
        <v>0</v>
      </c>
      <c r="Q156" s="168">
        <v>0</v>
      </c>
      <c r="R156" s="168">
        <v>0</v>
      </c>
    </row>
    <row r="157" spans="1:18" ht="12" customHeight="1" outlineLevel="1">
      <c r="A157" s="90"/>
      <c r="B157" s="174">
        <v>620</v>
      </c>
      <c r="C157" s="69" t="s">
        <v>239</v>
      </c>
      <c r="D157" s="78"/>
      <c r="E157" s="93"/>
      <c r="F157" s="105"/>
      <c r="G157" s="124"/>
      <c r="H157" s="123"/>
      <c r="I157" s="3"/>
      <c r="K157" s="100"/>
      <c r="L157" s="516">
        <v>8494.61</v>
      </c>
      <c r="M157" s="516">
        <v>7597.7</v>
      </c>
      <c r="N157" s="168">
        <v>0</v>
      </c>
      <c r="O157" s="3">
        <v>6328</v>
      </c>
      <c r="P157" s="168">
        <v>0</v>
      </c>
      <c r="Q157" s="168">
        <v>0</v>
      </c>
      <c r="R157" s="168">
        <v>0</v>
      </c>
    </row>
    <row r="158" spans="1:18" ht="12" customHeight="1" outlineLevel="1">
      <c r="A158" s="90"/>
      <c r="B158" s="174">
        <v>633010</v>
      </c>
      <c r="C158" s="69" t="s">
        <v>240</v>
      </c>
      <c r="D158" s="78"/>
      <c r="E158" s="93"/>
      <c r="F158" s="105"/>
      <c r="G158" s="124"/>
      <c r="H158" s="123"/>
      <c r="I158" s="3"/>
      <c r="K158" s="100"/>
      <c r="L158" s="516">
        <v>1195.92</v>
      </c>
      <c r="M158" s="516">
        <v>789.21</v>
      </c>
      <c r="N158" s="168">
        <v>0</v>
      </c>
      <c r="O158" s="3">
        <v>600</v>
      </c>
      <c r="P158" s="168">
        <v>0</v>
      </c>
      <c r="Q158" s="168">
        <v>0</v>
      </c>
      <c r="R158" s="168">
        <v>0</v>
      </c>
    </row>
    <row r="159" spans="1:18" ht="12" customHeight="1" outlineLevel="1">
      <c r="A159" s="90"/>
      <c r="B159" s="174">
        <v>637006</v>
      </c>
      <c r="C159" s="69" t="s">
        <v>348</v>
      </c>
      <c r="D159" s="78"/>
      <c r="E159" s="93"/>
      <c r="F159" s="105"/>
      <c r="G159" s="124"/>
      <c r="H159" s="123"/>
      <c r="I159" s="3"/>
      <c r="K159" s="100"/>
      <c r="L159" s="516">
        <v>0</v>
      </c>
      <c r="M159" s="516">
        <v>99</v>
      </c>
      <c r="N159" s="168">
        <v>0</v>
      </c>
      <c r="O159" s="3">
        <v>85</v>
      </c>
      <c r="P159" s="168">
        <v>0</v>
      </c>
      <c r="Q159" s="168">
        <v>0</v>
      </c>
      <c r="R159" s="168">
        <v>0</v>
      </c>
    </row>
    <row r="160" spans="1:18" ht="12" customHeight="1" outlineLevel="1">
      <c r="A160" s="90"/>
      <c r="B160" s="174">
        <v>637014</v>
      </c>
      <c r="C160" s="69" t="s">
        <v>241</v>
      </c>
      <c r="D160" s="78"/>
      <c r="E160" s="93"/>
      <c r="F160" s="105"/>
      <c r="G160" s="124"/>
      <c r="H160" s="123"/>
      <c r="I160" s="3"/>
      <c r="K160" s="100"/>
      <c r="L160" s="516">
        <v>2233.45</v>
      </c>
      <c r="M160" s="516">
        <v>1590</v>
      </c>
      <c r="N160" s="168">
        <v>0</v>
      </c>
      <c r="O160" s="3">
        <v>2237</v>
      </c>
      <c r="P160" s="168">
        <v>0</v>
      </c>
      <c r="Q160" s="168">
        <v>0</v>
      </c>
      <c r="R160" s="168">
        <v>0</v>
      </c>
    </row>
    <row r="161" spans="1:18" ht="12" customHeight="1" outlineLevel="1">
      <c r="A161" s="90"/>
      <c r="B161" s="174">
        <v>637015</v>
      </c>
      <c r="C161" s="69" t="s">
        <v>242</v>
      </c>
      <c r="D161" s="78"/>
      <c r="E161" s="93"/>
      <c r="F161" s="105"/>
      <c r="G161" s="124"/>
      <c r="H161" s="123"/>
      <c r="I161" s="3"/>
      <c r="K161" s="100"/>
      <c r="L161" s="516">
        <v>238.32</v>
      </c>
      <c r="M161" s="516">
        <v>139.02</v>
      </c>
      <c r="N161" s="168">
        <v>0</v>
      </c>
      <c r="O161" s="3">
        <v>143</v>
      </c>
      <c r="P161" s="168">
        <v>0</v>
      </c>
      <c r="Q161" s="168">
        <v>0</v>
      </c>
      <c r="R161" s="168">
        <v>0</v>
      </c>
    </row>
    <row r="162" spans="1:19" ht="12" customHeight="1" outlineLevel="1">
      <c r="A162" s="90"/>
      <c r="B162" s="174">
        <v>610</v>
      </c>
      <c r="C162" s="69" t="s">
        <v>270</v>
      </c>
      <c r="D162" s="78"/>
      <c r="E162" s="93"/>
      <c r="F162" s="105"/>
      <c r="G162" s="124"/>
      <c r="H162" s="123"/>
      <c r="I162" s="3"/>
      <c r="K162" s="100"/>
      <c r="L162" s="516">
        <v>2410.97</v>
      </c>
      <c r="M162" s="516">
        <v>4000</v>
      </c>
      <c r="N162" s="168">
        <v>6215</v>
      </c>
      <c r="O162" s="3">
        <v>14445</v>
      </c>
      <c r="P162" s="168">
        <v>1000</v>
      </c>
      <c r="Q162" s="168">
        <v>0</v>
      </c>
      <c r="R162" s="168">
        <v>0</v>
      </c>
      <c r="S162" s="589"/>
    </row>
    <row r="163" spans="1:19" ht="12" customHeight="1" outlineLevel="1">
      <c r="A163" s="90"/>
      <c r="B163" s="174">
        <v>620</v>
      </c>
      <c r="C163" s="69" t="s">
        <v>271</v>
      </c>
      <c r="D163" s="78"/>
      <c r="E163" s="93"/>
      <c r="F163" s="105"/>
      <c r="G163" s="124"/>
      <c r="H163" s="123"/>
      <c r="I163" s="3"/>
      <c r="K163" s="100"/>
      <c r="L163" s="516">
        <v>836.88</v>
      </c>
      <c r="M163" s="516">
        <v>1398</v>
      </c>
      <c r="N163" s="168">
        <v>175</v>
      </c>
      <c r="O163" s="3">
        <v>3052</v>
      </c>
      <c r="P163" s="168">
        <v>350</v>
      </c>
      <c r="Q163" s="168">
        <v>0</v>
      </c>
      <c r="R163" s="168">
        <v>0</v>
      </c>
      <c r="S163" s="589"/>
    </row>
    <row r="164" spans="1:18" ht="12" customHeight="1">
      <c r="A164" s="319" t="s">
        <v>15</v>
      </c>
      <c r="B164" s="320"/>
      <c r="C164" s="407" t="s">
        <v>305</v>
      </c>
      <c r="D164" s="322">
        <f>SUM(D168:D171)</f>
        <v>83</v>
      </c>
      <c r="E164" s="323">
        <f>SUM(E168:E171)</f>
        <v>0</v>
      </c>
      <c r="F164" s="322">
        <f>SUM(F168:F171)</f>
        <v>83</v>
      </c>
      <c r="G164" s="322" t="e">
        <f>+G167+#REF!</f>
        <v>#REF!</v>
      </c>
      <c r="H164" s="323" t="e">
        <f>+H167+#REF!</f>
        <v>#REF!</v>
      </c>
      <c r="I164" s="325" t="e">
        <f>+I167+#REF!</f>
        <v>#REF!</v>
      </c>
      <c r="J164" s="328"/>
      <c r="K164" s="329"/>
      <c r="L164" s="519">
        <f>SUM(L165:L170)</f>
        <v>2376.84</v>
      </c>
      <c r="M164" s="519">
        <f>SUM(M165:M170)</f>
        <v>1284.42</v>
      </c>
      <c r="N164" s="327">
        <f>SUM(N165:N170)</f>
        <v>2500</v>
      </c>
      <c r="O164" s="325">
        <f>SUM(O165:O172)</f>
        <v>3205</v>
      </c>
      <c r="P164" s="327">
        <f>SUM(P165:P170)</f>
        <v>2400</v>
      </c>
      <c r="Q164" s="325">
        <f>SUM(Q165:Q170)</f>
        <v>2700</v>
      </c>
      <c r="R164" s="327">
        <f>SUM(R165:R172)</f>
        <v>2650</v>
      </c>
    </row>
    <row r="165" spans="1:19" ht="12" customHeight="1">
      <c r="A165" s="542"/>
      <c r="B165" s="543">
        <v>633006</v>
      </c>
      <c r="C165" s="544" t="s">
        <v>243</v>
      </c>
      <c r="D165" s="545"/>
      <c r="E165" s="546"/>
      <c r="F165" s="547"/>
      <c r="G165" s="548"/>
      <c r="H165" s="549"/>
      <c r="I165" s="550"/>
      <c r="J165" s="551"/>
      <c r="K165" s="552"/>
      <c r="L165" s="553">
        <v>1556.86</v>
      </c>
      <c r="M165" s="553">
        <v>471.08</v>
      </c>
      <c r="N165" s="550">
        <v>700</v>
      </c>
      <c r="O165" s="550">
        <v>500</v>
      </c>
      <c r="P165" s="550">
        <v>800</v>
      </c>
      <c r="Q165" s="550">
        <v>1000</v>
      </c>
      <c r="R165" s="550">
        <v>1000</v>
      </c>
      <c r="S165" s="589"/>
    </row>
    <row r="166" spans="1:18" ht="12" customHeight="1">
      <c r="A166" s="542"/>
      <c r="B166" s="68">
        <v>633006</v>
      </c>
      <c r="C166" s="69" t="s">
        <v>313</v>
      </c>
      <c r="D166" s="105"/>
      <c r="E166" s="132"/>
      <c r="F166" s="105"/>
      <c r="G166" s="93"/>
      <c r="H166" s="123"/>
      <c r="I166" s="3"/>
      <c r="K166" s="100"/>
      <c r="L166" s="491">
        <v>119</v>
      </c>
      <c r="M166" s="491">
        <v>235.37</v>
      </c>
      <c r="N166" s="3">
        <v>1000</v>
      </c>
      <c r="O166" s="3">
        <v>500</v>
      </c>
      <c r="P166" s="3">
        <v>750</v>
      </c>
      <c r="Q166" s="3">
        <v>800</v>
      </c>
      <c r="R166" s="3">
        <v>700</v>
      </c>
    </row>
    <row r="167" spans="1:18" ht="12" customHeight="1">
      <c r="A167" s="117"/>
      <c r="B167" s="68">
        <v>633015</v>
      </c>
      <c r="C167" s="93" t="s">
        <v>227</v>
      </c>
      <c r="D167" s="109"/>
      <c r="E167" s="118"/>
      <c r="F167" s="109">
        <f>+D167</f>
        <v>0</v>
      </c>
      <c r="G167" s="109" t="e">
        <f>+G168+#REF!</f>
        <v>#REF!</v>
      </c>
      <c r="H167" s="111" t="e">
        <f>+H168+#REF!</f>
        <v>#REF!</v>
      </c>
      <c r="I167" s="112" t="e">
        <f>+I168+#REF!</f>
        <v>#REF!</v>
      </c>
      <c r="K167" s="100"/>
      <c r="L167" s="491">
        <v>163.9</v>
      </c>
      <c r="M167" s="491">
        <v>157.97</v>
      </c>
      <c r="N167" s="3">
        <v>300</v>
      </c>
      <c r="O167" s="3">
        <v>150</v>
      </c>
      <c r="P167" s="3">
        <v>150</v>
      </c>
      <c r="Q167" s="3">
        <v>150</v>
      </c>
      <c r="R167" s="3">
        <v>150</v>
      </c>
    </row>
    <row r="168" spans="1:18" ht="12" customHeight="1" hidden="1" outlineLevel="1">
      <c r="A168" s="90"/>
      <c r="B168" s="68">
        <v>633006</v>
      </c>
      <c r="C168" s="69" t="s">
        <v>80</v>
      </c>
      <c r="D168" s="78">
        <v>45</v>
      </c>
      <c r="E168" s="93"/>
      <c r="F168" s="78">
        <f>+D168</f>
        <v>45</v>
      </c>
      <c r="G168" s="3">
        <v>44</v>
      </c>
      <c r="H168" s="123">
        <f>+G168/D168</f>
        <v>0.9777777777777777</v>
      </c>
      <c r="I168" s="3">
        <f>+F168</f>
        <v>45</v>
      </c>
      <c r="K168" s="100"/>
      <c r="L168" s="491"/>
      <c r="M168" s="491"/>
      <c r="N168" s="3"/>
      <c r="O168" s="3"/>
      <c r="P168" s="3"/>
      <c r="Q168" s="3"/>
      <c r="R168" s="3"/>
    </row>
    <row r="169" spans="1:18" ht="12" customHeight="1" outlineLevel="1">
      <c r="A169" s="394"/>
      <c r="B169" s="68">
        <v>635006</v>
      </c>
      <c r="C169" s="69" t="s">
        <v>204</v>
      </c>
      <c r="D169" s="78"/>
      <c r="E169" s="93"/>
      <c r="F169" s="105"/>
      <c r="G169" s="392"/>
      <c r="H169" s="123"/>
      <c r="I169" s="3"/>
      <c r="K169" s="100"/>
      <c r="L169" s="491">
        <v>520</v>
      </c>
      <c r="M169" s="491">
        <v>420</v>
      </c>
      <c r="N169" s="3">
        <v>500</v>
      </c>
      <c r="O169" s="3">
        <v>700</v>
      </c>
      <c r="P169" s="3">
        <v>700</v>
      </c>
      <c r="Q169" s="3">
        <v>750</v>
      </c>
      <c r="R169" s="3">
        <v>800</v>
      </c>
    </row>
    <row r="170" spans="1:18" ht="12" customHeight="1" outlineLevel="1">
      <c r="A170" s="90"/>
      <c r="B170" s="68">
        <v>636002</v>
      </c>
      <c r="C170" s="69" t="s">
        <v>369</v>
      </c>
      <c r="D170" s="78"/>
      <c r="E170" s="93"/>
      <c r="F170" s="105"/>
      <c r="G170" s="392"/>
      <c r="H170" s="123"/>
      <c r="I170" s="3"/>
      <c r="K170" s="100"/>
      <c r="L170" s="491">
        <v>17.08</v>
      </c>
      <c r="M170" s="491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</row>
    <row r="171" spans="1:18" ht="12" customHeight="1" hidden="1" outlineLevel="1">
      <c r="A171" s="90"/>
      <c r="B171" s="68">
        <v>635006</v>
      </c>
      <c r="C171" s="69" t="s">
        <v>91</v>
      </c>
      <c r="D171" s="78">
        <v>38</v>
      </c>
      <c r="E171" s="132"/>
      <c r="F171" s="78">
        <f>+D171</f>
        <v>38</v>
      </c>
      <c r="G171" s="5">
        <v>48</v>
      </c>
      <c r="H171" s="123">
        <f>+G171/D171</f>
        <v>1.263157894736842</v>
      </c>
      <c r="I171" s="3">
        <f>+F171</f>
        <v>38</v>
      </c>
      <c r="K171" s="100"/>
      <c r="L171" s="491"/>
      <c r="M171" s="491"/>
      <c r="N171" s="3"/>
      <c r="O171" s="3"/>
      <c r="P171" s="3"/>
      <c r="Q171" s="3"/>
      <c r="R171" s="3"/>
    </row>
    <row r="172" spans="1:18" ht="12" customHeight="1" outlineLevel="1">
      <c r="A172" s="90"/>
      <c r="B172" s="68">
        <v>637005</v>
      </c>
      <c r="C172" s="69" t="s">
        <v>300</v>
      </c>
      <c r="D172" s="78"/>
      <c r="E172" s="132"/>
      <c r="F172" s="78"/>
      <c r="G172" s="124"/>
      <c r="H172" s="123"/>
      <c r="I172" s="3"/>
      <c r="K172" s="100"/>
      <c r="L172" s="491">
        <v>0</v>
      </c>
      <c r="M172" s="491">
        <v>0</v>
      </c>
      <c r="N172" s="3">
        <v>0</v>
      </c>
      <c r="O172" s="3">
        <v>1355</v>
      </c>
      <c r="P172" s="3">
        <v>0</v>
      </c>
      <c r="Q172" s="3">
        <v>0</v>
      </c>
      <c r="R172" s="3">
        <v>0</v>
      </c>
    </row>
    <row r="173" spans="1:18" ht="12" customHeight="1">
      <c r="A173" s="319" t="s">
        <v>307</v>
      </c>
      <c r="B173" s="320"/>
      <c r="C173" s="321" t="s">
        <v>306</v>
      </c>
      <c r="D173" s="322">
        <f>SUM(D175:D179)</f>
        <v>2335</v>
      </c>
      <c r="E173" s="323">
        <f>SUM(E175:E179)</f>
        <v>0</v>
      </c>
      <c r="F173" s="322">
        <f>SUM(F175:F179)</f>
        <v>2335</v>
      </c>
      <c r="G173" s="322" t="e">
        <f>+G174+#REF!+G177</f>
        <v>#REF!</v>
      </c>
      <c r="H173" s="323" t="e">
        <f>+H174+#REF!+H177</f>
        <v>#REF!</v>
      </c>
      <c r="I173" s="325" t="e">
        <f>+I174+#REF!+I177</f>
        <v>#REF!</v>
      </c>
      <c r="J173" s="328"/>
      <c r="K173" s="329"/>
      <c r="L173" s="519">
        <f aca="true" t="shared" si="14" ref="L173:R173">SUM(L174:L180)</f>
        <v>15536.78</v>
      </c>
      <c r="M173" s="519">
        <f t="shared" si="14"/>
        <v>15664.08</v>
      </c>
      <c r="N173" s="327">
        <f t="shared" si="14"/>
        <v>16350</v>
      </c>
      <c r="O173" s="327">
        <f t="shared" si="14"/>
        <v>16486</v>
      </c>
      <c r="P173" s="327">
        <f t="shared" si="14"/>
        <v>17100</v>
      </c>
      <c r="Q173" s="327">
        <f t="shared" si="14"/>
        <v>17110</v>
      </c>
      <c r="R173" s="327">
        <f t="shared" si="14"/>
        <v>17230</v>
      </c>
    </row>
    <row r="174" spans="1:18" ht="12" customHeight="1">
      <c r="A174" s="90"/>
      <c r="B174" s="91">
        <v>633</v>
      </c>
      <c r="C174" s="93" t="s">
        <v>192</v>
      </c>
      <c r="D174" s="109"/>
      <c r="E174" s="118"/>
      <c r="F174" s="109">
        <f>+D174</f>
        <v>0</v>
      </c>
      <c r="G174" s="109">
        <f>+G175+G176</f>
        <v>12</v>
      </c>
      <c r="H174" s="111">
        <f>+H175+H176</f>
        <v>0.44999999999999996</v>
      </c>
      <c r="I174" s="112">
        <f>+I175+I176</f>
        <v>27</v>
      </c>
      <c r="K174" s="100"/>
      <c r="L174" s="491">
        <v>853.02</v>
      </c>
      <c r="M174" s="491">
        <v>782.58</v>
      </c>
      <c r="N174" s="3">
        <v>850</v>
      </c>
      <c r="O174" s="3">
        <v>956</v>
      </c>
      <c r="P174" s="3">
        <v>900</v>
      </c>
      <c r="Q174" s="3">
        <v>900</v>
      </c>
      <c r="R174" s="3">
        <v>915</v>
      </c>
    </row>
    <row r="175" spans="1:18" ht="12" customHeight="1" hidden="1" outlineLevel="1">
      <c r="A175" s="90"/>
      <c r="B175" s="68">
        <v>633006</v>
      </c>
      <c r="C175" s="69" t="s">
        <v>80</v>
      </c>
      <c r="D175" s="78">
        <v>60</v>
      </c>
      <c r="E175" s="132"/>
      <c r="F175" s="78">
        <f>+D175</f>
        <v>60</v>
      </c>
      <c r="G175" s="5">
        <v>7</v>
      </c>
      <c r="H175" s="123">
        <f>+G175/D175</f>
        <v>0.11666666666666667</v>
      </c>
      <c r="I175" s="3">
        <v>20</v>
      </c>
      <c r="K175" s="100"/>
      <c r="L175" s="491"/>
      <c r="M175" s="491"/>
      <c r="N175" s="3"/>
      <c r="O175" s="3"/>
      <c r="P175" s="3"/>
      <c r="Q175" s="3"/>
      <c r="R175" s="3"/>
    </row>
    <row r="176" spans="1:18" ht="12" customHeight="1" hidden="1" outlineLevel="1">
      <c r="A176" s="90"/>
      <c r="B176" s="68">
        <v>633011</v>
      </c>
      <c r="C176" s="69" t="s">
        <v>105</v>
      </c>
      <c r="D176" s="78">
        <v>15</v>
      </c>
      <c r="E176" s="132"/>
      <c r="F176" s="78">
        <f>+D176</f>
        <v>15</v>
      </c>
      <c r="G176" s="5">
        <v>5</v>
      </c>
      <c r="H176" s="123">
        <f>+G176/D176</f>
        <v>0.3333333333333333</v>
      </c>
      <c r="I176" s="3">
        <v>7</v>
      </c>
      <c r="K176" s="100"/>
      <c r="L176" s="491"/>
      <c r="M176" s="491"/>
      <c r="N176" s="3"/>
      <c r="O176" s="3"/>
      <c r="P176" s="3"/>
      <c r="Q176" s="3"/>
      <c r="R176" s="3"/>
    </row>
    <row r="177" spans="1:19" ht="12" customHeight="1" collapsed="1">
      <c r="A177" s="90"/>
      <c r="B177" s="68">
        <v>637004</v>
      </c>
      <c r="C177" s="93" t="s">
        <v>205</v>
      </c>
      <c r="D177" s="109"/>
      <c r="E177" s="118"/>
      <c r="F177" s="110"/>
      <c r="G177" s="126" t="e">
        <f>+G178+G179+#REF!</f>
        <v>#REF!</v>
      </c>
      <c r="H177" s="110" t="e">
        <f>+H178+H179+#REF!</f>
        <v>#REF!</v>
      </c>
      <c r="I177" s="112" t="e">
        <f>+I178+I179+#REF!</f>
        <v>#REF!</v>
      </c>
      <c r="K177" s="100"/>
      <c r="L177" s="491">
        <v>13804.7</v>
      </c>
      <c r="M177" s="491">
        <v>13991.6</v>
      </c>
      <c r="N177" s="3">
        <v>14500</v>
      </c>
      <c r="O177" s="3">
        <v>14530</v>
      </c>
      <c r="P177" s="3">
        <v>15200</v>
      </c>
      <c r="Q177" s="3">
        <v>15200</v>
      </c>
      <c r="R177" s="3">
        <v>15300</v>
      </c>
      <c r="S177" s="589"/>
    </row>
    <row r="178" spans="1:18" ht="12" customHeight="1" hidden="1" outlineLevel="1">
      <c r="A178" s="90"/>
      <c r="B178" s="68">
        <v>637005</v>
      </c>
      <c r="C178" s="69" t="s">
        <v>96</v>
      </c>
      <c r="D178" s="92">
        <v>60</v>
      </c>
      <c r="E178" s="132"/>
      <c r="F178" s="78">
        <f>+D178</f>
        <v>60</v>
      </c>
      <c r="G178" s="5">
        <v>15</v>
      </c>
      <c r="H178" s="123">
        <f>+G178/D178</f>
        <v>0.25</v>
      </c>
      <c r="I178" s="5">
        <v>60</v>
      </c>
      <c r="K178" s="100"/>
      <c r="L178" s="491"/>
      <c r="M178" s="491"/>
      <c r="N178" s="5"/>
      <c r="O178" s="3"/>
      <c r="P178" s="5"/>
      <c r="Q178" s="5"/>
      <c r="R178" s="3"/>
    </row>
    <row r="179" spans="1:18" ht="12" customHeight="1" hidden="1" outlineLevel="1">
      <c r="A179" s="90"/>
      <c r="B179" s="68">
        <v>637012</v>
      </c>
      <c r="C179" s="69" t="s">
        <v>97</v>
      </c>
      <c r="D179" s="78">
        <v>2200</v>
      </c>
      <c r="E179" s="132"/>
      <c r="F179" s="78">
        <f>+D179</f>
        <v>2200</v>
      </c>
      <c r="G179" s="5">
        <v>1612</v>
      </c>
      <c r="H179" s="123">
        <f>+G179/D179</f>
        <v>0.7327272727272728</v>
      </c>
      <c r="I179" s="3">
        <f>2260+55</f>
        <v>2315</v>
      </c>
      <c r="K179" s="100"/>
      <c r="L179" s="491"/>
      <c r="M179" s="491"/>
      <c r="N179" s="3"/>
      <c r="O179" s="3"/>
      <c r="P179" s="3"/>
      <c r="Q179" s="3"/>
      <c r="R179" s="3"/>
    </row>
    <row r="180" spans="1:18" ht="12" customHeight="1" collapsed="1">
      <c r="A180" s="90"/>
      <c r="B180" s="68">
        <v>637012</v>
      </c>
      <c r="C180" s="93" t="s">
        <v>206</v>
      </c>
      <c r="D180" s="93"/>
      <c r="E180" s="93"/>
      <c r="F180" s="93"/>
      <c r="G180" s="93"/>
      <c r="H180" s="123" t="e">
        <f>+G180/D180</f>
        <v>#DIV/0!</v>
      </c>
      <c r="I180" s="5"/>
      <c r="K180" s="100"/>
      <c r="L180" s="491">
        <v>879.06</v>
      </c>
      <c r="M180" s="491">
        <v>889.9</v>
      </c>
      <c r="N180" s="5">
        <v>1000</v>
      </c>
      <c r="O180" s="3">
        <v>1000</v>
      </c>
      <c r="P180" s="5">
        <v>1000</v>
      </c>
      <c r="Q180" s="5">
        <v>1010</v>
      </c>
      <c r="R180" s="3">
        <v>1015</v>
      </c>
    </row>
    <row r="181" spans="1:18" ht="12" customHeight="1">
      <c r="A181" s="319" t="s">
        <v>398</v>
      </c>
      <c r="B181" s="320"/>
      <c r="C181" s="321"/>
      <c r="D181" s="322">
        <f>SUM(D183:D187)</f>
        <v>200</v>
      </c>
      <c r="E181" s="323">
        <f>SUM(E183:E187)</f>
        <v>0</v>
      </c>
      <c r="F181" s="322">
        <f>SUM(F183:F187)</f>
        <v>200</v>
      </c>
      <c r="G181" s="322" t="e">
        <f>+G182+#REF!+G185</f>
        <v>#REF!</v>
      </c>
      <c r="H181" s="323" t="e">
        <f>+H182+#REF!+H185</f>
        <v>#REF!</v>
      </c>
      <c r="I181" s="325" t="e">
        <f>+I182+#REF!+I185</f>
        <v>#REF!</v>
      </c>
      <c r="J181" s="328"/>
      <c r="K181" s="329"/>
      <c r="L181" s="519">
        <f aca="true" t="shared" si="15" ref="L181:R181">SUM(L182)</f>
        <v>0</v>
      </c>
      <c r="M181" s="519">
        <f t="shared" si="15"/>
        <v>157.3</v>
      </c>
      <c r="N181" s="327">
        <f t="shared" si="15"/>
        <v>0</v>
      </c>
      <c r="O181" s="325">
        <f t="shared" si="15"/>
        <v>0</v>
      </c>
      <c r="P181" s="327">
        <f t="shared" si="15"/>
        <v>200</v>
      </c>
      <c r="Q181" s="327">
        <f>SUM(Q182)</f>
        <v>0</v>
      </c>
      <c r="R181" s="327">
        <f t="shared" si="15"/>
        <v>0</v>
      </c>
    </row>
    <row r="182" spans="1:18" ht="12" customHeight="1">
      <c r="A182" s="90"/>
      <c r="B182" s="68">
        <v>633006</v>
      </c>
      <c r="C182" s="93" t="s">
        <v>399</v>
      </c>
      <c r="D182" s="93"/>
      <c r="E182" s="93"/>
      <c r="F182" s="93"/>
      <c r="G182" s="93"/>
      <c r="H182" s="123"/>
      <c r="I182" s="5"/>
      <c r="K182" s="100"/>
      <c r="L182" s="491">
        <v>0</v>
      </c>
      <c r="M182" s="491">
        <v>157.3</v>
      </c>
      <c r="N182" s="5">
        <v>0</v>
      </c>
      <c r="O182" s="3">
        <v>0</v>
      </c>
      <c r="P182" s="5">
        <v>200</v>
      </c>
      <c r="Q182" s="5">
        <v>0</v>
      </c>
      <c r="R182" s="3">
        <v>0</v>
      </c>
    </row>
    <row r="183" spans="1:18" ht="12" customHeight="1">
      <c r="A183" s="319" t="s">
        <v>174</v>
      </c>
      <c r="B183" s="320"/>
      <c r="C183" s="321"/>
      <c r="D183" s="322"/>
      <c r="E183" s="410"/>
      <c r="F183" s="410"/>
      <c r="G183" s="410"/>
      <c r="H183" s="326"/>
      <c r="I183" s="325"/>
      <c r="J183" s="328"/>
      <c r="K183" s="329"/>
      <c r="L183" s="519">
        <f aca="true" t="shared" si="16" ref="L183:R183">SUM(L184:L191)</f>
        <v>2373.5499999999997</v>
      </c>
      <c r="M183" s="519">
        <f t="shared" si="16"/>
        <v>3205.47</v>
      </c>
      <c r="N183" s="327">
        <f t="shared" si="16"/>
        <v>11717</v>
      </c>
      <c r="O183" s="325">
        <f t="shared" si="16"/>
        <v>10947</v>
      </c>
      <c r="P183" s="327">
        <f t="shared" si="16"/>
        <v>11127</v>
      </c>
      <c r="Q183" s="327">
        <f t="shared" si="16"/>
        <v>2567</v>
      </c>
      <c r="R183" s="327">
        <f t="shared" si="16"/>
        <v>2567</v>
      </c>
    </row>
    <row r="184" spans="1:18" ht="12" customHeight="1">
      <c r="A184" s="127"/>
      <c r="B184" s="91">
        <v>632001</v>
      </c>
      <c r="C184" s="93" t="s">
        <v>175</v>
      </c>
      <c r="D184" s="109"/>
      <c r="E184" s="118"/>
      <c r="F184" s="110"/>
      <c r="G184" s="118"/>
      <c r="H184" s="125"/>
      <c r="I184" s="112">
        <f>+I185</f>
        <v>200</v>
      </c>
      <c r="K184" s="100"/>
      <c r="L184" s="516">
        <v>854.07</v>
      </c>
      <c r="M184" s="516">
        <v>1000.04</v>
      </c>
      <c r="N184" s="168">
        <v>1000</v>
      </c>
      <c r="O184" s="3">
        <v>630</v>
      </c>
      <c r="P184" s="168">
        <v>630</v>
      </c>
      <c r="Q184" s="168">
        <v>620</v>
      </c>
      <c r="R184" s="168">
        <v>620</v>
      </c>
    </row>
    <row r="185" spans="1:18" ht="12" customHeight="1" hidden="1" outlineLevel="1">
      <c r="A185" s="127"/>
      <c r="B185" s="68">
        <v>637004</v>
      </c>
      <c r="C185" s="129" t="s">
        <v>95</v>
      </c>
      <c r="D185" s="92">
        <v>200</v>
      </c>
      <c r="E185" s="93"/>
      <c r="F185" s="92">
        <f>+D185</f>
        <v>200</v>
      </c>
      <c r="G185" s="5">
        <v>49</v>
      </c>
      <c r="H185" s="123">
        <f>+G185/D185</f>
        <v>0.245</v>
      </c>
      <c r="I185" s="5">
        <f>+F185</f>
        <v>200</v>
      </c>
      <c r="K185" s="100"/>
      <c r="L185" s="516"/>
      <c r="M185" s="516"/>
      <c r="N185" s="169"/>
      <c r="O185" s="3"/>
      <c r="P185" s="169"/>
      <c r="Q185" s="169"/>
      <c r="R185" s="168"/>
    </row>
    <row r="186" spans="1:18" ht="12" customHeight="1" outlineLevel="1">
      <c r="A186" s="127"/>
      <c r="B186" s="68">
        <v>632002</v>
      </c>
      <c r="C186" s="69" t="s">
        <v>176</v>
      </c>
      <c r="D186" s="93"/>
      <c r="E186" s="93"/>
      <c r="F186" s="93"/>
      <c r="G186" s="93"/>
      <c r="H186" s="123"/>
      <c r="I186" s="5"/>
      <c r="K186" s="100"/>
      <c r="L186" s="516">
        <v>772.55</v>
      </c>
      <c r="M186" s="516">
        <v>913.06</v>
      </c>
      <c r="N186" s="169">
        <v>870</v>
      </c>
      <c r="O186" s="3">
        <v>870</v>
      </c>
      <c r="P186" s="169">
        <v>900</v>
      </c>
      <c r="Q186" s="169">
        <v>900</v>
      </c>
      <c r="R186" s="168">
        <v>900</v>
      </c>
    </row>
    <row r="187" spans="1:18" ht="12" customHeight="1" outlineLevel="1">
      <c r="A187" s="90"/>
      <c r="B187" s="68">
        <v>633006</v>
      </c>
      <c r="C187" s="69" t="s">
        <v>207</v>
      </c>
      <c r="D187" s="93"/>
      <c r="E187" s="93"/>
      <c r="F187" s="93"/>
      <c r="G187" s="93"/>
      <c r="H187" s="123"/>
      <c r="I187" s="5"/>
      <c r="K187" s="100"/>
      <c r="L187" s="516">
        <v>144.74</v>
      </c>
      <c r="M187" s="516">
        <v>0.8</v>
      </c>
      <c r="N187" s="169">
        <v>500</v>
      </c>
      <c r="O187" s="3">
        <v>100</v>
      </c>
      <c r="P187" s="169">
        <v>50</v>
      </c>
      <c r="Q187" s="169">
        <v>0</v>
      </c>
      <c r="R187" s="168">
        <v>0</v>
      </c>
    </row>
    <row r="188" spans="1:18" ht="12" customHeight="1" outlineLevel="1">
      <c r="A188" s="90"/>
      <c r="B188" s="68">
        <v>635006</v>
      </c>
      <c r="C188" s="69" t="s">
        <v>381</v>
      </c>
      <c r="D188" s="93"/>
      <c r="E188" s="93"/>
      <c r="F188" s="93"/>
      <c r="G188" s="93"/>
      <c r="H188" s="123"/>
      <c r="I188" s="5"/>
      <c r="K188" s="100"/>
      <c r="L188" s="516">
        <v>415.51</v>
      </c>
      <c r="M188" s="516">
        <v>1109.25</v>
      </c>
      <c r="N188" s="169">
        <v>9000</v>
      </c>
      <c r="O188" s="3">
        <v>9000</v>
      </c>
      <c r="P188" s="169">
        <v>9000</v>
      </c>
      <c r="Q188" s="169">
        <v>500</v>
      </c>
      <c r="R188" s="168">
        <v>500</v>
      </c>
    </row>
    <row r="189" spans="1:18" ht="12" customHeight="1" outlineLevel="1">
      <c r="A189" s="90"/>
      <c r="B189" s="68">
        <v>637004</v>
      </c>
      <c r="C189" s="69" t="s">
        <v>372</v>
      </c>
      <c r="D189" s="105"/>
      <c r="E189" s="93"/>
      <c r="F189" s="105"/>
      <c r="G189" s="93"/>
      <c r="H189" s="123"/>
      <c r="I189" s="3"/>
      <c r="K189" s="100"/>
      <c r="L189" s="491">
        <v>0</v>
      </c>
      <c r="M189" s="491">
        <v>0</v>
      </c>
      <c r="N189" s="3">
        <v>0</v>
      </c>
      <c r="O189" s="3">
        <v>0</v>
      </c>
      <c r="P189" s="3">
        <v>200</v>
      </c>
      <c r="Q189" s="3">
        <v>200</v>
      </c>
      <c r="R189" s="3">
        <v>200</v>
      </c>
    </row>
    <row r="190" spans="1:18" ht="12" customHeight="1" outlineLevel="1">
      <c r="A190" s="90"/>
      <c r="B190" s="68">
        <v>637012</v>
      </c>
      <c r="C190" s="69" t="s">
        <v>177</v>
      </c>
      <c r="D190" s="93"/>
      <c r="E190" s="93"/>
      <c r="F190" s="93"/>
      <c r="G190" s="93"/>
      <c r="H190" s="123"/>
      <c r="I190" s="5"/>
      <c r="K190" s="100"/>
      <c r="L190" s="169">
        <v>186.68</v>
      </c>
      <c r="M190" s="169">
        <v>182.32</v>
      </c>
      <c r="N190" s="169">
        <v>180</v>
      </c>
      <c r="O190" s="3">
        <v>180</v>
      </c>
      <c r="P190" s="169">
        <v>180</v>
      </c>
      <c r="Q190" s="169">
        <v>180</v>
      </c>
      <c r="R190" s="168">
        <v>180</v>
      </c>
    </row>
    <row r="191" spans="1:18" ht="12" customHeight="1" outlineLevel="1">
      <c r="A191" s="90"/>
      <c r="B191" s="68">
        <v>637015</v>
      </c>
      <c r="C191" s="69" t="s">
        <v>255</v>
      </c>
      <c r="D191" s="105"/>
      <c r="E191" s="93"/>
      <c r="F191" s="105"/>
      <c r="G191" s="93"/>
      <c r="H191" s="123"/>
      <c r="I191" s="3"/>
      <c r="K191" s="100"/>
      <c r="L191" s="491">
        <v>0</v>
      </c>
      <c r="M191" s="491">
        <v>0</v>
      </c>
      <c r="N191" s="3">
        <v>167</v>
      </c>
      <c r="O191" s="3">
        <v>167</v>
      </c>
      <c r="P191" s="3">
        <v>167</v>
      </c>
      <c r="Q191" s="3">
        <v>167</v>
      </c>
      <c r="R191" s="3">
        <v>167</v>
      </c>
    </row>
    <row r="192" spans="1:18" ht="12" customHeight="1">
      <c r="A192" s="630" t="s">
        <v>129</v>
      </c>
      <c r="B192" s="631"/>
      <c r="C192" s="631"/>
      <c r="D192" s="472"/>
      <c r="E192" s="473"/>
      <c r="F192" s="472"/>
      <c r="G192" s="473"/>
      <c r="H192" s="474"/>
      <c r="I192" s="475"/>
      <c r="J192" s="476"/>
      <c r="K192" s="477"/>
      <c r="L192" s="497">
        <f>SUM(L194:L196)</f>
        <v>0</v>
      </c>
      <c r="M192" s="497">
        <f>SUM(M193:M198)</f>
        <v>310.54</v>
      </c>
      <c r="N192" s="325">
        <f>SUM(N193:N196)</f>
        <v>1280</v>
      </c>
      <c r="O192" s="325">
        <f>SUM(O193:O198)</f>
        <v>4239</v>
      </c>
      <c r="P192" s="325">
        <f>SUM(P193:P198)</f>
        <v>600</v>
      </c>
      <c r="Q192" s="325">
        <f>SUM(Q193:Q198)</f>
        <v>600</v>
      </c>
      <c r="R192" s="325">
        <f>SUM(R193:R198)</f>
        <v>600</v>
      </c>
    </row>
    <row r="193" spans="1:18" ht="12" customHeight="1">
      <c r="A193" s="567"/>
      <c r="B193" s="577">
        <v>633015</v>
      </c>
      <c r="C193" s="576" t="s">
        <v>355</v>
      </c>
      <c r="D193" s="568"/>
      <c r="E193" s="569"/>
      <c r="F193" s="568"/>
      <c r="G193" s="569"/>
      <c r="H193" s="570"/>
      <c r="I193" s="571"/>
      <c r="J193" s="572"/>
      <c r="K193" s="573"/>
      <c r="L193" s="574">
        <v>0</v>
      </c>
      <c r="M193" s="574">
        <v>152.75</v>
      </c>
      <c r="N193" s="575">
        <v>200</v>
      </c>
      <c r="O193" s="550">
        <v>500</v>
      </c>
      <c r="P193" s="575">
        <v>500</v>
      </c>
      <c r="Q193" s="575">
        <v>500</v>
      </c>
      <c r="R193" s="575">
        <v>500</v>
      </c>
    </row>
    <row r="194" spans="1:18" ht="12" customHeight="1">
      <c r="A194" s="471"/>
      <c r="B194" s="68">
        <v>637005</v>
      </c>
      <c r="C194" s="69" t="s">
        <v>284</v>
      </c>
      <c r="D194" s="105"/>
      <c r="E194" s="93"/>
      <c r="F194" s="105"/>
      <c r="G194" s="93"/>
      <c r="H194" s="123"/>
      <c r="I194" s="3"/>
      <c r="K194" s="100"/>
      <c r="L194" s="491">
        <v>0</v>
      </c>
      <c r="M194" s="491">
        <v>0</v>
      </c>
      <c r="N194" s="3">
        <v>1080</v>
      </c>
      <c r="O194" s="3">
        <v>1200</v>
      </c>
      <c r="P194" s="3">
        <v>0</v>
      </c>
      <c r="Q194" s="3">
        <v>0</v>
      </c>
      <c r="R194" s="3">
        <v>0</v>
      </c>
    </row>
    <row r="195" spans="1:18" ht="12" customHeight="1">
      <c r="A195" s="471"/>
      <c r="B195" s="68">
        <v>637005</v>
      </c>
      <c r="C195" s="69" t="s">
        <v>384</v>
      </c>
      <c r="D195" s="105"/>
      <c r="E195" s="93"/>
      <c r="F195" s="105"/>
      <c r="G195" s="93"/>
      <c r="H195" s="123"/>
      <c r="I195" s="3"/>
      <c r="K195" s="100"/>
      <c r="L195" s="491">
        <v>0</v>
      </c>
      <c r="M195" s="491">
        <v>0</v>
      </c>
      <c r="N195" s="3">
        <v>0</v>
      </c>
      <c r="O195" s="3">
        <v>2450</v>
      </c>
      <c r="P195" s="3">
        <v>0</v>
      </c>
      <c r="Q195" s="3">
        <v>0</v>
      </c>
      <c r="R195" s="3">
        <v>0</v>
      </c>
    </row>
    <row r="196" spans="1:18" ht="12" customHeight="1">
      <c r="A196" s="90"/>
      <c r="B196" s="68">
        <v>637023</v>
      </c>
      <c r="C196" s="69" t="s">
        <v>171</v>
      </c>
      <c r="D196" s="105"/>
      <c r="E196" s="93"/>
      <c r="F196" s="105"/>
      <c r="G196" s="93"/>
      <c r="H196" s="123"/>
      <c r="I196" s="3"/>
      <c r="K196" s="100"/>
      <c r="L196" s="491">
        <v>0</v>
      </c>
      <c r="M196" s="491">
        <v>77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</row>
    <row r="197" spans="1:19" ht="12" customHeight="1">
      <c r="A197" s="90"/>
      <c r="B197" s="68">
        <v>633006</v>
      </c>
      <c r="C197" s="69" t="s">
        <v>376</v>
      </c>
      <c r="D197" s="105"/>
      <c r="E197" s="93"/>
      <c r="F197" s="105"/>
      <c r="G197" s="93"/>
      <c r="H197" s="123"/>
      <c r="I197" s="3"/>
      <c r="K197" s="100"/>
      <c r="L197" s="491">
        <v>0</v>
      </c>
      <c r="M197" s="491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589"/>
    </row>
    <row r="198" spans="1:18" ht="12" customHeight="1">
      <c r="A198" s="90"/>
      <c r="B198" s="68">
        <v>633015</v>
      </c>
      <c r="C198" s="69" t="s">
        <v>382</v>
      </c>
      <c r="D198" s="105"/>
      <c r="E198" s="93"/>
      <c r="F198" s="105"/>
      <c r="G198" s="93"/>
      <c r="H198" s="123"/>
      <c r="I198" s="3"/>
      <c r="K198" s="100"/>
      <c r="L198" s="491">
        <v>0</v>
      </c>
      <c r="M198" s="491">
        <v>80.79</v>
      </c>
      <c r="N198" s="3">
        <v>0</v>
      </c>
      <c r="O198" s="3">
        <v>89</v>
      </c>
      <c r="P198" s="3">
        <v>100</v>
      </c>
      <c r="Q198" s="3">
        <v>100</v>
      </c>
      <c r="R198" s="3">
        <v>100</v>
      </c>
    </row>
    <row r="199" spans="1:18" ht="12" customHeight="1">
      <c r="A199" s="337" t="s">
        <v>308</v>
      </c>
      <c r="B199" s="320"/>
      <c r="C199" s="321"/>
      <c r="D199" s="322">
        <f>+D203</f>
        <v>500</v>
      </c>
      <c r="E199" s="323">
        <f>+E203</f>
        <v>0</v>
      </c>
      <c r="F199" s="322">
        <f>+F203</f>
        <v>500</v>
      </c>
      <c r="G199" s="325">
        <f>+G203</f>
        <v>282</v>
      </c>
      <c r="H199" s="326">
        <f>+G199/D199</f>
        <v>0.564</v>
      </c>
      <c r="I199" s="325">
        <f>+I203</f>
        <v>400</v>
      </c>
      <c r="J199" s="328"/>
      <c r="K199" s="329"/>
      <c r="L199" s="497">
        <f aca="true" t="shared" si="17" ref="L199:R199">SUM(L200)</f>
        <v>35</v>
      </c>
      <c r="M199" s="497">
        <f t="shared" si="17"/>
        <v>235.56</v>
      </c>
      <c r="N199" s="325">
        <f t="shared" si="17"/>
        <v>100</v>
      </c>
      <c r="O199" s="325">
        <f t="shared" si="17"/>
        <v>0</v>
      </c>
      <c r="P199" s="325">
        <f t="shared" si="17"/>
        <v>100</v>
      </c>
      <c r="Q199" s="325">
        <f t="shared" si="17"/>
        <v>100</v>
      </c>
      <c r="R199" s="325">
        <f t="shared" si="17"/>
        <v>100</v>
      </c>
    </row>
    <row r="200" spans="1:18" ht="12" customHeight="1">
      <c r="A200" s="411"/>
      <c r="B200" s="541">
        <v>633006</v>
      </c>
      <c r="C200" s="418" t="s">
        <v>285</v>
      </c>
      <c r="D200" s="412"/>
      <c r="E200" s="413"/>
      <c r="F200" s="413"/>
      <c r="G200" s="413"/>
      <c r="H200" s="414"/>
      <c r="I200" s="415"/>
      <c r="J200" s="416"/>
      <c r="K200" s="417"/>
      <c r="L200" s="523">
        <v>35</v>
      </c>
      <c r="M200" s="523">
        <v>235.56</v>
      </c>
      <c r="N200" s="415">
        <v>100</v>
      </c>
      <c r="O200" s="396">
        <v>0</v>
      </c>
      <c r="P200" s="415">
        <v>100</v>
      </c>
      <c r="Q200" s="396">
        <v>100</v>
      </c>
      <c r="R200" s="415">
        <v>100</v>
      </c>
    </row>
    <row r="201" spans="1:18" ht="12" customHeight="1">
      <c r="A201" s="319" t="s">
        <v>16</v>
      </c>
      <c r="B201" s="320"/>
      <c r="C201" s="336"/>
      <c r="D201" s="322">
        <f>SUM(D203:D205)</f>
        <v>700</v>
      </c>
      <c r="E201" s="323">
        <f>SUM(E203:E205)</f>
        <v>0</v>
      </c>
      <c r="F201" s="322">
        <f>SUM(F203:F205)</f>
        <v>700</v>
      </c>
      <c r="G201" s="322" t="e">
        <f>+G202+G204</f>
        <v>#REF!</v>
      </c>
      <c r="H201" s="323" t="e">
        <f>+H202+H204</f>
        <v>#REF!</v>
      </c>
      <c r="I201" s="325" t="e">
        <f>+I202+I204</f>
        <v>#REF!</v>
      </c>
      <c r="J201" s="328"/>
      <c r="K201" s="329"/>
      <c r="L201" s="519">
        <f aca="true" t="shared" si="18" ref="L201:R201">SUM(L202:L209)</f>
        <v>6148.05</v>
      </c>
      <c r="M201" s="519">
        <f t="shared" si="18"/>
        <v>7342.4</v>
      </c>
      <c r="N201" s="327">
        <f t="shared" si="18"/>
        <v>7550</v>
      </c>
      <c r="O201" s="325">
        <f t="shared" si="18"/>
        <v>7212</v>
      </c>
      <c r="P201" s="327">
        <f t="shared" si="18"/>
        <v>7650</v>
      </c>
      <c r="Q201" s="325">
        <f t="shared" si="18"/>
        <v>7250</v>
      </c>
      <c r="R201" s="327">
        <f t="shared" si="18"/>
        <v>6900</v>
      </c>
    </row>
    <row r="202" spans="1:18" ht="12" customHeight="1">
      <c r="A202" s="90"/>
      <c r="B202" s="68">
        <v>632001</v>
      </c>
      <c r="C202" s="69" t="s">
        <v>194</v>
      </c>
      <c r="D202" s="109"/>
      <c r="E202" s="118"/>
      <c r="F202" s="109"/>
      <c r="G202" s="109">
        <f>+G203</f>
        <v>282</v>
      </c>
      <c r="H202" s="111">
        <f>+H203</f>
        <v>0.564</v>
      </c>
      <c r="I202" s="112">
        <f>+I203</f>
        <v>400</v>
      </c>
      <c r="K202" s="100"/>
      <c r="L202" s="491">
        <v>5205.39</v>
      </c>
      <c r="M202" s="491">
        <v>5719.95</v>
      </c>
      <c r="N202" s="3">
        <v>5750</v>
      </c>
      <c r="O202" s="3">
        <v>5500</v>
      </c>
      <c r="P202" s="3">
        <v>5600</v>
      </c>
      <c r="Q202" s="3">
        <v>5550</v>
      </c>
      <c r="R202" s="3">
        <v>5500</v>
      </c>
    </row>
    <row r="203" spans="1:18" ht="12" customHeight="1" hidden="1" outlineLevel="1">
      <c r="A203" s="90"/>
      <c r="B203" s="91" t="s">
        <v>14</v>
      </c>
      <c r="C203" s="69" t="s">
        <v>75</v>
      </c>
      <c r="D203" s="78">
        <v>500</v>
      </c>
      <c r="E203" s="93"/>
      <c r="F203" s="78">
        <f>+D203</f>
        <v>500</v>
      </c>
      <c r="G203" s="5">
        <f>300-18</f>
        <v>282</v>
      </c>
      <c r="H203" s="123">
        <f>+G203/D203</f>
        <v>0.564</v>
      </c>
      <c r="I203" s="3">
        <v>400</v>
      </c>
      <c r="K203" s="100"/>
      <c r="L203" s="491"/>
      <c r="M203" s="491"/>
      <c r="N203" s="3"/>
      <c r="O203" s="3"/>
      <c r="P203" s="3"/>
      <c r="Q203" s="3"/>
      <c r="R203" s="3"/>
    </row>
    <row r="204" spans="1:19" ht="12" customHeight="1" collapsed="1">
      <c r="A204" s="394"/>
      <c r="B204" s="68">
        <v>633006</v>
      </c>
      <c r="C204" s="93" t="s">
        <v>207</v>
      </c>
      <c r="D204" s="120"/>
      <c r="E204" s="118"/>
      <c r="F204" s="110"/>
      <c r="G204" s="126" t="e">
        <f>+G205+#REF!</f>
        <v>#REF!</v>
      </c>
      <c r="H204" s="110" t="e">
        <f>+H205+#REF!</f>
        <v>#REF!</v>
      </c>
      <c r="I204" s="112" t="e">
        <f>+I205+#REF!</f>
        <v>#REF!</v>
      </c>
      <c r="K204" s="100"/>
      <c r="L204" s="491">
        <v>127.59</v>
      </c>
      <c r="M204" s="491">
        <v>1018.71</v>
      </c>
      <c r="N204" s="3">
        <v>1000</v>
      </c>
      <c r="O204" s="3">
        <v>500</v>
      </c>
      <c r="P204" s="3">
        <v>500</v>
      </c>
      <c r="Q204" s="3">
        <v>500</v>
      </c>
      <c r="R204" s="3">
        <v>500</v>
      </c>
      <c r="S204" s="578"/>
    </row>
    <row r="205" spans="1:18" ht="12" customHeight="1" hidden="1" outlineLevel="1">
      <c r="A205" s="394"/>
      <c r="B205" s="68">
        <v>635004</v>
      </c>
      <c r="C205" s="171" t="s">
        <v>92</v>
      </c>
      <c r="D205" s="78">
        <v>200</v>
      </c>
      <c r="E205" s="93"/>
      <c r="F205" s="78">
        <f>+D205</f>
        <v>200</v>
      </c>
      <c r="G205" s="5">
        <v>202</v>
      </c>
      <c r="H205" s="123">
        <f>+G205/D205</f>
        <v>1.01</v>
      </c>
      <c r="I205" s="3">
        <v>300</v>
      </c>
      <c r="K205" s="100"/>
      <c r="L205" s="516"/>
      <c r="M205" s="516"/>
      <c r="N205" s="168"/>
      <c r="O205" s="3"/>
      <c r="P205" s="3"/>
      <c r="Q205" s="3"/>
      <c r="R205" s="3"/>
    </row>
    <row r="206" spans="1:19" ht="12" customHeight="1" outlineLevel="1">
      <c r="A206" s="394"/>
      <c r="B206" s="68">
        <v>633006</v>
      </c>
      <c r="C206" s="69" t="s">
        <v>234</v>
      </c>
      <c r="D206" s="93"/>
      <c r="E206" s="93"/>
      <c r="F206" s="93"/>
      <c r="G206" s="93"/>
      <c r="H206" s="123"/>
      <c r="I206" s="5"/>
      <c r="J206" s="342"/>
      <c r="K206" s="343"/>
      <c r="L206" s="516">
        <v>0</v>
      </c>
      <c r="M206" s="516">
        <v>0</v>
      </c>
      <c r="N206" s="169">
        <v>0</v>
      </c>
      <c r="O206" s="3">
        <v>0</v>
      </c>
      <c r="P206" s="5">
        <v>700</v>
      </c>
      <c r="Q206" s="5">
        <v>0</v>
      </c>
      <c r="R206" s="3">
        <v>0</v>
      </c>
      <c r="S206" s="589"/>
    </row>
    <row r="207" spans="1:18" ht="12" customHeight="1" outlineLevel="1">
      <c r="A207" s="394"/>
      <c r="B207" s="68">
        <v>635004</v>
      </c>
      <c r="C207" s="171" t="s">
        <v>181</v>
      </c>
      <c r="D207" s="105"/>
      <c r="E207" s="93"/>
      <c r="F207" s="105"/>
      <c r="G207" s="93"/>
      <c r="H207" s="123"/>
      <c r="I207" s="3"/>
      <c r="K207" s="100"/>
      <c r="L207" s="516">
        <v>483.7</v>
      </c>
      <c r="M207" s="516">
        <v>492.4</v>
      </c>
      <c r="N207" s="168">
        <v>600</v>
      </c>
      <c r="O207" s="3">
        <v>600</v>
      </c>
      <c r="P207" s="3">
        <v>600</v>
      </c>
      <c r="Q207" s="3">
        <v>600</v>
      </c>
      <c r="R207" s="3">
        <v>600</v>
      </c>
    </row>
    <row r="208" spans="1:18" ht="12" customHeight="1" outlineLevel="1">
      <c r="A208" s="394"/>
      <c r="B208" s="68">
        <v>637004</v>
      </c>
      <c r="C208" s="171" t="s">
        <v>383</v>
      </c>
      <c r="D208" s="105"/>
      <c r="E208" s="93"/>
      <c r="F208" s="105"/>
      <c r="G208" s="93"/>
      <c r="H208" s="123"/>
      <c r="I208" s="3"/>
      <c r="K208" s="100"/>
      <c r="L208" s="516">
        <v>0</v>
      </c>
      <c r="M208" s="516">
        <v>0</v>
      </c>
      <c r="N208" s="168">
        <v>0</v>
      </c>
      <c r="O208" s="3">
        <v>280</v>
      </c>
      <c r="P208" s="3">
        <v>0</v>
      </c>
      <c r="Q208" s="3">
        <v>300</v>
      </c>
      <c r="R208" s="3">
        <v>0</v>
      </c>
    </row>
    <row r="209" spans="1:18" ht="12" customHeight="1">
      <c r="A209" s="90"/>
      <c r="B209" s="68">
        <v>637027</v>
      </c>
      <c r="C209" s="69" t="s">
        <v>180</v>
      </c>
      <c r="D209" s="93"/>
      <c r="E209" s="93"/>
      <c r="F209" s="93"/>
      <c r="G209" s="93"/>
      <c r="H209" s="123"/>
      <c r="I209" s="5"/>
      <c r="K209" s="100"/>
      <c r="L209" s="491">
        <v>331.37</v>
      </c>
      <c r="M209" s="491">
        <v>111.34</v>
      </c>
      <c r="N209" s="5">
        <v>200</v>
      </c>
      <c r="O209" s="3">
        <v>332</v>
      </c>
      <c r="P209" s="5">
        <v>250</v>
      </c>
      <c r="Q209" s="5">
        <v>300</v>
      </c>
      <c r="R209" s="3">
        <v>300</v>
      </c>
    </row>
    <row r="210" spans="1:18" ht="12" customHeight="1">
      <c r="A210" s="330" t="s">
        <v>326</v>
      </c>
      <c r="B210" s="320" t="s">
        <v>327</v>
      </c>
      <c r="C210" s="339"/>
      <c r="D210" s="93"/>
      <c r="E210" s="93"/>
      <c r="F210" s="93"/>
      <c r="G210" s="93"/>
      <c r="H210" s="123"/>
      <c r="I210" s="5"/>
      <c r="K210" s="100"/>
      <c r="L210" s="554">
        <f aca="true" t="shared" si="19" ref="L210:R210">SUM(L211:L212)</f>
        <v>568.76</v>
      </c>
      <c r="M210" s="554">
        <f t="shared" si="19"/>
        <v>317.04</v>
      </c>
      <c r="N210" s="555">
        <f t="shared" si="19"/>
        <v>350</v>
      </c>
      <c r="O210" s="629">
        <f t="shared" si="19"/>
        <v>332</v>
      </c>
      <c r="P210" s="629">
        <f t="shared" si="19"/>
        <v>332</v>
      </c>
      <c r="Q210" s="629">
        <f t="shared" si="19"/>
        <v>332</v>
      </c>
      <c r="R210" s="629">
        <f t="shared" si="19"/>
        <v>332</v>
      </c>
    </row>
    <row r="211" spans="1:18" ht="12" customHeight="1">
      <c r="A211" s="90"/>
      <c r="B211" s="68">
        <v>632001</v>
      </c>
      <c r="C211" s="69" t="s">
        <v>75</v>
      </c>
      <c r="D211" s="93"/>
      <c r="E211" s="93"/>
      <c r="F211" s="93"/>
      <c r="G211" s="93"/>
      <c r="H211" s="123"/>
      <c r="I211" s="5"/>
      <c r="K211" s="100"/>
      <c r="L211" s="491">
        <v>518.86</v>
      </c>
      <c r="M211" s="491">
        <v>281.04</v>
      </c>
      <c r="N211" s="3">
        <v>300</v>
      </c>
      <c r="O211" s="168">
        <v>282</v>
      </c>
      <c r="P211" s="3">
        <v>282</v>
      </c>
      <c r="Q211" s="3">
        <v>282</v>
      </c>
      <c r="R211" s="3">
        <v>282</v>
      </c>
    </row>
    <row r="212" spans="1:18" ht="12" customHeight="1">
      <c r="A212" s="90"/>
      <c r="B212" s="68">
        <v>633006</v>
      </c>
      <c r="C212" s="69" t="s">
        <v>397</v>
      </c>
      <c r="D212" s="93"/>
      <c r="E212" s="93"/>
      <c r="F212" s="93"/>
      <c r="G212" s="93"/>
      <c r="H212" s="123"/>
      <c r="I212" s="5"/>
      <c r="K212" s="100"/>
      <c r="L212" s="491">
        <v>49.9</v>
      </c>
      <c r="M212" s="491">
        <v>36</v>
      </c>
      <c r="N212" s="3">
        <v>50</v>
      </c>
      <c r="O212" s="168">
        <v>50</v>
      </c>
      <c r="P212" s="3">
        <v>50</v>
      </c>
      <c r="Q212" s="3">
        <v>50</v>
      </c>
      <c r="R212" s="3">
        <v>50</v>
      </c>
    </row>
    <row r="213" spans="1:18" ht="12" customHeight="1">
      <c r="A213" s="319" t="s">
        <v>209</v>
      </c>
      <c r="B213" s="320" t="s">
        <v>208</v>
      </c>
      <c r="C213" s="339"/>
      <c r="D213" s="322">
        <f>SUM(D215:D220)</f>
        <v>170</v>
      </c>
      <c r="E213" s="323">
        <f>SUM(E215:E220)</f>
        <v>0</v>
      </c>
      <c r="F213" s="322">
        <f>SUM(F215:F220)</f>
        <v>109</v>
      </c>
      <c r="G213" s="322" t="e">
        <f>+G214+#REF!</f>
        <v>#REF!</v>
      </c>
      <c r="H213" s="323" t="e">
        <f>+H214+#REF!</f>
        <v>#REF!</v>
      </c>
      <c r="I213" s="325" t="e">
        <f>+I214+#REF!</f>
        <v>#REF!</v>
      </c>
      <c r="J213" s="328"/>
      <c r="K213" s="329"/>
      <c r="L213" s="519">
        <f aca="true" t="shared" si="20" ref="L213:R213">SUM(L214:L222)</f>
        <v>1001.4300000000001</v>
      </c>
      <c r="M213" s="519">
        <f t="shared" si="20"/>
        <v>2375.2799999999997</v>
      </c>
      <c r="N213" s="327">
        <f t="shared" si="20"/>
        <v>1000</v>
      </c>
      <c r="O213" s="327">
        <f t="shared" si="20"/>
        <v>1228</v>
      </c>
      <c r="P213" s="327">
        <f t="shared" si="20"/>
        <v>2500</v>
      </c>
      <c r="Q213" s="327">
        <f t="shared" si="20"/>
        <v>1000</v>
      </c>
      <c r="R213" s="327">
        <f t="shared" si="20"/>
        <v>1000</v>
      </c>
    </row>
    <row r="214" spans="1:18" ht="12" customHeight="1">
      <c r="A214" s="90"/>
      <c r="B214" s="68">
        <v>632001</v>
      </c>
      <c r="C214" s="93" t="s">
        <v>178</v>
      </c>
      <c r="D214" s="120"/>
      <c r="E214" s="118"/>
      <c r="F214" s="110"/>
      <c r="G214" s="126">
        <f>SUM(G215:G217)</f>
        <v>47</v>
      </c>
      <c r="H214" s="110">
        <f>SUM(H215:H217)</f>
        <v>1.3538461538461537</v>
      </c>
      <c r="I214" s="112">
        <f>SUM(I215:I217)</f>
        <v>49</v>
      </c>
      <c r="K214" s="100"/>
      <c r="L214" s="491">
        <v>541.74</v>
      </c>
      <c r="M214" s="491">
        <v>635.88</v>
      </c>
      <c r="N214" s="3">
        <v>650</v>
      </c>
      <c r="O214" s="168">
        <v>568</v>
      </c>
      <c r="P214" s="3">
        <v>2500</v>
      </c>
      <c r="Q214" s="3">
        <v>1000</v>
      </c>
      <c r="R214" s="3">
        <v>1000</v>
      </c>
    </row>
    <row r="215" spans="1:18" ht="12" customHeight="1" hidden="1" outlineLevel="1">
      <c r="A215" s="90"/>
      <c r="B215" s="91" t="s">
        <v>14</v>
      </c>
      <c r="C215" s="69" t="s">
        <v>75</v>
      </c>
      <c r="D215" s="130">
        <v>39</v>
      </c>
      <c r="E215" s="93"/>
      <c r="F215" s="130">
        <f>+D215</f>
        <v>39</v>
      </c>
      <c r="G215" s="5">
        <v>45</v>
      </c>
      <c r="H215" s="123">
        <f>+G215/D215</f>
        <v>1.1538461538461537</v>
      </c>
      <c r="I215" s="165">
        <f>+F215</f>
        <v>39</v>
      </c>
      <c r="K215" s="100"/>
      <c r="L215" s="516"/>
      <c r="M215" s="516"/>
      <c r="N215" s="182"/>
      <c r="O215" s="168"/>
      <c r="P215" s="182"/>
      <c r="Q215" s="182"/>
      <c r="R215" s="168"/>
    </row>
    <row r="216" spans="1:18" ht="12" customHeight="1" hidden="1" outlineLevel="1">
      <c r="A216" s="90"/>
      <c r="B216" s="68">
        <v>632002</v>
      </c>
      <c r="C216" s="69" t="s">
        <v>76</v>
      </c>
      <c r="D216" s="78">
        <v>10</v>
      </c>
      <c r="E216" s="93"/>
      <c r="F216" s="130">
        <f>+D216</f>
        <v>10</v>
      </c>
      <c r="G216" s="5">
        <v>2</v>
      </c>
      <c r="H216" s="123">
        <f>+G216/D216</f>
        <v>0.2</v>
      </c>
      <c r="I216" s="165">
        <f>+F216</f>
        <v>10</v>
      </c>
      <c r="K216" s="100"/>
      <c r="L216" s="516"/>
      <c r="M216" s="516"/>
      <c r="N216" s="182"/>
      <c r="O216" s="168"/>
      <c r="P216" s="182"/>
      <c r="Q216" s="182"/>
      <c r="R216" s="168"/>
    </row>
    <row r="217" spans="1:18" ht="12" customHeight="1" outlineLevel="1">
      <c r="A217" s="90"/>
      <c r="B217" s="68">
        <v>633006</v>
      </c>
      <c r="C217" s="69" t="s">
        <v>179</v>
      </c>
      <c r="D217" s="78"/>
      <c r="E217" s="93"/>
      <c r="F217" s="393"/>
      <c r="G217" s="124"/>
      <c r="H217" s="123"/>
      <c r="I217" s="165"/>
      <c r="K217" s="100"/>
      <c r="L217" s="516">
        <v>288.37</v>
      </c>
      <c r="M217" s="516">
        <v>524.55</v>
      </c>
      <c r="N217" s="182">
        <v>50</v>
      </c>
      <c r="O217" s="168">
        <v>250</v>
      </c>
      <c r="P217" s="182"/>
      <c r="Q217" s="182"/>
      <c r="R217" s="168"/>
    </row>
    <row r="218" spans="1:18" ht="12" customHeight="1" outlineLevel="1">
      <c r="A218" s="90"/>
      <c r="B218" s="174">
        <v>633006</v>
      </c>
      <c r="C218" s="69" t="s">
        <v>253</v>
      </c>
      <c r="D218" s="78">
        <v>61</v>
      </c>
      <c r="E218" s="93"/>
      <c r="F218" s="130"/>
      <c r="G218" s="5">
        <v>-50</v>
      </c>
      <c r="H218" s="123">
        <f>+G218/D218</f>
        <v>-0.819672131147541</v>
      </c>
      <c r="I218" s="3"/>
      <c r="K218" s="100"/>
      <c r="L218" s="491">
        <v>0</v>
      </c>
      <c r="M218" s="491">
        <v>0</v>
      </c>
      <c r="N218" s="3">
        <v>0</v>
      </c>
      <c r="O218" s="168">
        <v>0</v>
      </c>
      <c r="P218" s="3"/>
      <c r="Q218" s="3"/>
      <c r="R218" s="3"/>
    </row>
    <row r="219" spans="1:18" ht="12" customHeight="1" outlineLevel="1">
      <c r="A219" s="90"/>
      <c r="B219" s="68">
        <v>634001</v>
      </c>
      <c r="C219" s="69" t="s">
        <v>328</v>
      </c>
      <c r="D219" s="78"/>
      <c r="E219" s="93"/>
      <c r="F219" s="393"/>
      <c r="G219" s="124"/>
      <c r="H219" s="123"/>
      <c r="I219" s="165"/>
      <c r="K219" s="100"/>
      <c r="L219" s="516">
        <v>171.32</v>
      </c>
      <c r="M219" s="516">
        <v>224.85</v>
      </c>
      <c r="N219" s="182">
        <v>300</v>
      </c>
      <c r="O219" s="168">
        <v>345</v>
      </c>
      <c r="P219" s="182"/>
      <c r="Q219" s="182"/>
      <c r="R219" s="168"/>
    </row>
    <row r="220" spans="1:18" ht="12" customHeight="1" hidden="1" outlineLevel="1">
      <c r="A220" s="90"/>
      <c r="B220" s="68">
        <v>635006</v>
      </c>
      <c r="C220" s="69" t="s">
        <v>91</v>
      </c>
      <c r="D220" s="78">
        <v>60</v>
      </c>
      <c r="E220" s="93"/>
      <c r="F220" s="130">
        <f>+D220</f>
        <v>60</v>
      </c>
      <c r="G220" s="5">
        <v>1</v>
      </c>
      <c r="H220" s="123">
        <f>+G220/D220</f>
        <v>0.016666666666666666</v>
      </c>
      <c r="I220" s="3">
        <v>60</v>
      </c>
      <c r="K220" s="100"/>
      <c r="L220" s="516"/>
      <c r="M220" s="516"/>
      <c r="N220" s="168"/>
      <c r="O220" s="168"/>
      <c r="P220" s="168"/>
      <c r="Q220" s="168"/>
      <c r="R220" s="168"/>
    </row>
    <row r="221" spans="1:18" ht="12" customHeight="1" outlineLevel="1">
      <c r="A221" s="90"/>
      <c r="B221" s="68">
        <v>635006</v>
      </c>
      <c r="C221" s="69" t="s">
        <v>356</v>
      </c>
      <c r="D221" s="78"/>
      <c r="E221" s="93"/>
      <c r="F221" s="130"/>
      <c r="G221" s="5"/>
      <c r="H221" s="123"/>
      <c r="I221" s="3"/>
      <c r="K221" s="100"/>
      <c r="L221" s="516">
        <v>0</v>
      </c>
      <c r="M221" s="516">
        <v>990</v>
      </c>
      <c r="N221" s="168">
        <v>0</v>
      </c>
      <c r="O221" s="168">
        <v>0</v>
      </c>
      <c r="P221" s="168"/>
      <c r="Q221" s="168"/>
      <c r="R221" s="168"/>
    </row>
    <row r="222" spans="1:18" ht="12" customHeight="1" outlineLevel="1">
      <c r="A222" s="90"/>
      <c r="B222" s="68">
        <v>636001</v>
      </c>
      <c r="C222" s="69" t="s">
        <v>272</v>
      </c>
      <c r="D222" s="78"/>
      <c r="E222" s="93"/>
      <c r="F222" s="130"/>
      <c r="G222" s="5"/>
      <c r="H222" s="123"/>
      <c r="I222" s="3"/>
      <c r="K222" s="100"/>
      <c r="L222" s="516">
        <v>0</v>
      </c>
      <c r="M222" s="516">
        <v>0</v>
      </c>
      <c r="N222" s="168">
        <v>0</v>
      </c>
      <c r="O222" s="168">
        <v>65</v>
      </c>
      <c r="P222" s="168"/>
      <c r="Q222" s="168"/>
      <c r="R222" s="168"/>
    </row>
    <row r="223" spans="1:18" ht="12" customHeight="1">
      <c r="A223" s="370" t="s">
        <v>309</v>
      </c>
      <c r="B223" s="371"/>
      <c r="C223" s="372"/>
      <c r="D223" s="78"/>
      <c r="E223" s="93"/>
      <c r="F223" s="130"/>
      <c r="G223" s="124"/>
      <c r="H223" s="123"/>
      <c r="I223" s="3"/>
      <c r="J223" s="373"/>
      <c r="K223" s="374"/>
      <c r="L223" s="526">
        <f>SUM(L224:L229)</f>
        <v>7625.709999999999</v>
      </c>
      <c r="M223" s="526">
        <f>SUM(M224:M229)</f>
        <v>3392.46</v>
      </c>
      <c r="N223" s="425">
        <f>SUM(N224:N229)</f>
        <v>3050</v>
      </c>
      <c r="O223" s="555">
        <f>SUM(O224:O230)</f>
        <v>2808</v>
      </c>
      <c r="P223" s="425">
        <f>SUM(P224:P229)</f>
        <v>2100</v>
      </c>
      <c r="Q223" s="555">
        <f>SUM(Q224:Q229)</f>
        <v>2100</v>
      </c>
      <c r="R223" s="425">
        <f>SUM(R224:R230)</f>
        <v>2100</v>
      </c>
    </row>
    <row r="224" spans="1:18" ht="12" customHeight="1">
      <c r="A224" s="90"/>
      <c r="B224" s="68">
        <v>632001</v>
      </c>
      <c r="C224" s="69" t="s">
        <v>178</v>
      </c>
      <c r="D224" s="78"/>
      <c r="E224" s="93"/>
      <c r="F224" s="130"/>
      <c r="G224" s="124"/>
      <c r="H224" s="123"/>
      <c r="I224" s="3"/>
      <c r="K224" s="100"/>
      <c r="L224" s="516">
        <v>744.91</v>
      </c>
      <c r="M224" s="516">
        <v>1124.76</v>
      </c>
      <c r="N224" s="168">
        <v>1400</v>
      </c>
      <c r="O224" s="168">
        <v>900</v>
      </c>
      <c r="P224" s="168">
        <v>1000</v>
      </c>
      <c r="Q224" s="168">
        <v>1000</v>
      </c>
      <c r="R224" s="168">
        <v>1000</v>
      </c>
    </row>
    <row r="225" spans="1:19" ht="12" customHeight="1">
      <c r="A225" s="90"/>
      <c r="B225" s="68">
        <v>633006</v>
      </c>
      <c r="C225" s="69" t="s">
        <v>104</v>
      </c>
      <c r="D225" s="78"/>
      <c r="E225" s="93"/>
      <c r="F225" s="130"/>
      <c r="G225" s="124"/>
      <c r="H225" s="123"/>
      <c r="I225" s="3"/>
      <c r="K225" s="100"/>
      <c r="L225" s="516">
        <v>4160.57</v>
      </c>
      <c r="M225" s="516">
        <v>1748.99</v>
      </c>
      <c r="N225" s="168">
        <v>1000</v>
      </c>
      <c r="O225" s="168">
        <v>288</v>
      </c>
      <c r="P225" s="168">
        <v>500</v>
      </c>
      <c r="Q225" s="168">
        <v>500</v>
      </c>
      <c r="R225" s="168">
        <v>500</v>
      </c>
      <c r="S225" s="589"/>
    </row>
    <row r="226" spans="1:19" ht="12" customHeight="1">
      <c r="A226" s="90"/>
      <c r="B226" s="68">
        <v>635001</v>
      </c>
      <c r="C226" s="69" t="s">
        <v>225</v>
      </c>
      <c r="D226" s="78"/>
      <c r="E226" s="93"/>
      <c r="F226" s="130"/>
      <c r="G226" s="124"/>
      <c r="H226" s="123"/>
      <c r="I226" s="3"/>
      <c r="K226" s="100"/>
      <c r="L226" s="516">
        <v>0</v>
      </c>
      <c r="M226" s="516">
        <v>0</v>
      </c>
      <c r="N226" s="168">
        <v>0</v>
      </c>
      <c r="O226" s="168">
        <v>0</v>
      </c>
      <c r="P226" s="168">
        <v>0</v>
      </c>
      <c r="Q226" s="168">
        <v>0</v>
      </c>
      <c r="R226" s="168">
        <v>0</v>
      </c>
      <c r="S226" s="589"/>
    </row>
    <row r="227" spans="1:19" ht="12" customHeight="1">
      <c r="A227" s="90"/>
      <c r="B227" s="68">
        <v>635006</v>
      </c>
      <c r="C227" s="69" t="s">
        <v>143</v>
      </c>
      <c r="D227" s="78"/>
      <c r="E227" s="93"/>
      <c r="F227" s="130"/>
      <c r="G227" s="124"/>
      <c r="H227" s="123"/>
      <c r="I227" s="3"/>
      <c r="K227" s="100"/>
      <c r="L227" s="516">
        <v>2206.2</v>
      </c>
      <c r="M227" s="516">
        <v>468.31</v>
      </c>
      <c r="N227" s="168">
        <v>500</v>
      </c>
      <c r="O227" s="168">
        <v>0</v>
      </c>
      <c r="P227" s="168">
        <v>500</v>
      </c>
      <c r="Q227" s="168">
        <v>500</v>
      </c>
      <c r="R227" s="168">
        <v>500</v>
      </c>
      <c r="S227" s="589"/>
    </row>
    <row r="228" spans="1:18" ht="12" customHeight="1">
      <c r="A228" s="90"/>
      <c r="B228" s="68">
        <v>637004</v>
      </c>
      <c r="C228" s="69" t="s">
        <v>368</v>
      </c>
      <c r="D228" s="78"/>
      <c r="E228" s="93"/>
      <c r="F228" s="130"/>
      <c r="G228" s="124"/>
      <c r="H228" s="123"/>
      <c r="I228" s="3"/>
      <c r="J228" s="342"/>
      <c r="K228" s="343"/>
      <c r="L228" s="516">
        <v>514.03</v>
      </c>
      <c r="M228" s="516">
        <v>50.4</v>
      </c>
      <c r="N228" s="168">
        <v>150</v>
      </c>
      <c r="O228" s="168">
        <v>150</v>
      </c>
      <c r="P228" s="168">
        <v>100</v>
      </c>
      <c r="Q228" s="168">
        <v>100</v>
      </c>
      <c r="R228" s="168">
        <v>100</v>
      </c>
    </row>
    <row r="229" spans="1:18" ht="12" customHeight="1">
      <c r="A229" s="90"/>
      <c r="B229" s="68">
        <v>637004</v>
      </c>
      <c r="C229" s="69" t="s">
        <v>251</v>
      </c>
      <c r="D229" s="78"/>
      <c r="E229" s="93"/>
      <c r="F229" s="130"/>
      <c r="G229" s="124"/>
      <c r="H229" s="123"/>
      <c r="I229" s="3"/>
      <c r="K229" s="100"/>
      <c r="L229" s="491">
        <v>0</v>
      </c>
      <c r="M229" s="491">
        <v>0</v>
      </c>
      <c r="N229" s="3">
        <v>0</v>
      </c>
      <c r="O229" s="168">
        <v>0</v>
      </c>
      <c r="P229" s="3">
        <v>0</v>
      </c>
      <c r="Q229" s="3">
        <v>0</v>
      </c>
      <c r="R229" s="3">
        <v>0</v>
      </c>
    </row>
    <row r="230" spans="1:18" ht="12" customHeight="1">
      <c r="A230" s="90"/>
      <c r="B230" s="68">
        <v>637005</v>
      </c>
      <c r="C230" s="69" t="s">
        <v>300</v>
      </c>
      <c r="D230" s="78"/>
      <c r="E230" s="93"/>
      <c r="F230" s="130"/>
      <c r="G230" s="124"/>
      <c r="H230" s="123"/>
      <c r="I230" s="3"/>
      <c r="K230" s="100"/>
      <c r="L230" s="491">
        <v>0</v>
      </c>
      <c r="M230" s="491">
        <v>0</v>
      </c>
      <c r="N230" s="3">
        <v>0</v>
      </c>
      <c r="O230" s="168">
        <v>1470</v>
      </c>
      <c r="P230" s="3">
        <v>0</v>
      </c>
      <c r="Q230" s="3">
        <v>0</v>
      </c>
      <c r="R230" s="3">
        <v>0</v>
      </c>
    </row>
    <row r="231" spans="1:18" ht="12" customHeight="1">
      <c r="A231" s="319" t="s">
        <v>310</v>
      </c>
      <c r="B231" s="332"/>
      <c r="C231" s="340"/>
      <c r="D231" s="322">
        <f>+D232</f>
        <v>2000</v>
      </c>
      <c r="E231" s="323">
        <f>+E232</f>
        <v>0</v>
      </c>
      <c r="F231" s="322">
        <f>+F232</f>
        <v>2000</v>
      </c>
      <c r="G231" s="322" t="e">
        <f>+#REF!</f>
        <v>#REF!</v>
      </c>
      <c r="H231" s="323" t="e">
        <f>+#REF!</f>
        <v>#REF!</v>
      </c>
      <c r="I231" s="325" t="e">
        <f>+#REF!</f>
        <v>#REF!</v>
      </c>
      <c r="J231" s="328"/>
      <c r="K231" s="329"/>
      <c r="L231" s="497">
        <f>SUM(L233:L240)</f>
        <v>23715.130000000005</v>
      </c>
      <c r="M231" s="497">
        <f aca="true" t="shared" si="21" ref="M231:R231">SUM(M233:M240)</f>
        <v>19498.809999999998</v>
      </c>
      <c r="N231" s="325">
        <f>SUM(N233:N240)</f>
        <v>850</v>
      </c>
      <c r="O231" s="327">
        <f t="shared" si="21"/>
        <v>16443</v>
      </c>
      <c r="P231" s="325">
        <f t="shared" si="21"/>
        <v>610</v>
      </c>
      <c r="Q231" s="325">
        <f t="shared" si="21"/>
        <v>600</v>
      </c>
      <c r="R231" s="325">
        <f t="shared" si="21"/>
        <v>600</v>
      </c>
    </row>
    <row r="232" spans="1:18" ht="12" customHeight="1" hidden="1" outlineLevel="1">
      <c r="A232" s="90"/>
      <c r="B232" s="91" t="s">
        <v>17</v>
      </c>
      <c r="C232" s="122" t="s">
        <v>106</v>
      </c>
      <c r="D232" s="78">
        <v>2000</v>
      </c>
      <c r="E232" s="93"/>
      <c r="F232" s="78">
        <f>+D232</f>
        <v>2000</v>
      </c>
      <c r="G232" s="5">
        <v>1193</v>
      </c>
      <c r="H232" s="123">
        <f>+G232/D232</f>
        <v>0.5965</v>
      </c>
      <c r="I232" s="3">
        <f>+F232</f>
        <v>2000</v>
      </c>
      <c r="K232" s="100"/>
      <c r="L232" s="516"/>
      <c r="M232" s="516"/>
      <c r="N232" s="168"/>
      <c r="O232" s="168"/>
      <c r="P232" s="168"/>
      <c r="Q232" s="168"/>
      <c r="R232" s="168"/>
    </row>
    <row r="233" spans="1:18" ht="12" customHeight="1" collapsed="1">
      <c r="A233" s="90"/>
      <c r="B233" s="68">
        <v>632001</v>
      </c>
      <c r="C233" s="69" t="s">
        <v>244</v>
      </c>
      <c r="D233" s="369"/>
      <c r="E233" s="344"/>
      <c r="F233" s="369"/>
      <c r="G233" s="344"/>
      <c r="H233" s="345"/>
      <c r="I233" s="170"/>
      <c r="K233" s="100"/>
      <c r="L233" s="516">
        <v>694.46</v>
      </c>
      <c r="M233" s="516">
        <v>444.12</v>
      </c>
      <c r="N233" s="168">
        <v>550</v>
      </c>
      <c r="O233" s="168">
        <v>450</v>
      </c>
      <c r="P233" s="168">
        <v>450</v>
      </c>
      <c r="Q233" s="168">
        <v>440</v>
      </c>
      <c r="R233" s="168">
        <v>440</v>
      </c>
    </row>
    <row r="234" spans="1:18" ht="12" customHeight="1">
      <c r="A234" s="90"/>
      <c r="B234" s="68">
        <v>633006</v>
      </c>
      <c r="C234" s="69" t="s">
        <v>41</v>
      </c>
      <c r="D234" s="369"/>
      <c r="E234" s="344"/>
      <c r="F234" s="369"/>
      <c r="G234" s="344"/>
      <c r="H234" s="345"/>
      <c r="I234" s="170"/>
      <c r="K234" s="100"/>
      <c r="L234" s="491">
        <v>136.1</v>
      </c>
      <c r="M234" s="491">
        <v>23.55</v>
      </c>
      <c r="N234" s="3">
        <v>100</v>
      </c>
      <c r="O234" s="168">
        <v>113</v>
      </c>
      <c r="P234" s="3">
        <v>110</v>
      </c>
      <c r="Q234" s="3">
        <v>100</v>
      </c>
      <c r="R234" s="3">
        <v>100</v>
      </c>
    </row>
    <row r="235" spans="1:18" ht="12" customHeight="1">
      <c r="A235" s="90"/>
      <c r="B235" s="68">
        <v>633015</v>
      </c>
      <c r="C235" s="69" t="s">
        <v>228</v>
      </c>
      <c r="D235" s="369"/>
      <c r="E235" s="344"/>
      <c r="F235" s="369"/>
      <c r="G235" s="344"/>
      <c r="H235" s="345"/>
      <c r="I235" s="170"/>
      <c r="K235" s="100"/>
      <c r="L235" s="491">
        <v>128.68</v>
      </c>
      <c r="M235" s="491">
        <v>0</v>
      </c>
      <c r="N235" s="3">
        <v>150</v>
      </c>
      <c r="O235" s="168">
        <v>50</v>
      </c>
      <c r="P235" s="3">
        <v>50</v>
      </c>
      <c r="Q235" s="3">
        <v>60</v>
      </c>
      <c r="R235" s="3">
        <v>60</v>
      </c>
    </row>
    <row r="236" spans="1:18" ht="12" customHeight="1">
      <c r="A236" s="394"/>
      <c r="B236" s="68">
        <v>637004</v>
      </c>
      <c r="C236" s="69" t="s">
        <v>273</v>
      </c>
      <c r="D236" s="369"/>
      <c r="E236" s="344"/>
      <c r="F236" s="369"/>
      <c r="G236" s="344"/>
      <c r="H236" s="345"/>
      <c r="I236" s="170"/>
      <c r="K236" s="100"/>
      <c r="L236" s="491">
        <v>48</v>
      </c>
      <c r="M236" s="491">
        <v>3.59</v>
      </c>
      <c r="N236" s="3">
        <v>50</v>
      </c>
      <c r="O236" s="168">
        <v>0</v>
      </c>
      <c r="P236" s="3">
        <v>0</v>
      </c>
      <c r="Q236" s="3">
        <v>0</v>
      </c>
      <c r="R236" s="3">
        <v>0</v>
      </c>
    </row>
    <row r="237" spans="1:18" ht="12" customHeight="1">
      <c r="A237" s="394"/>
      <c r="B237" s="91"/>
      <c r="C237" s="69" t="s">
        <v>349</v>
      </c>
      <c r="D237" s="369"/>
      <c r="E237" s="344"/>
      <c r="F237" s="369"/>
      <c r="G237" s="344"/>
      <c r="H237" s="345"/>
      <c r="I237" s="170"/>
      <c r="K237" s="100"/>
      <c r="L237" s="491">
        <v>20026.58</v>
      </c>
      <c r="M237" s="491">
        <v>15000</v>
      </c>
      <c r="N237" s="3">
        <v>0</v>
      </c>
      <c r="O237" s="3">
        <v>15000</v>
      </c>
      <c r="P237" s="3">
        <v>0</v>
      </c>
      <c r="Q237" s="3">
        <v>0</v>
      </c>
      <c r="R237" s="3">
        <v>0</v>
      </c>
    </row>
    <row r="238" spans="1:18" ht="12" customHeight="1">
      <c r="A238" s="394"/>
      <c r="B238" s="91"/>
      <c r="C238" s="69" t="s">
        <v>248</v>
      </c>
      <c r="D238" s="369"/>
      <c r="E238" s="344"/>
      <c r="F238" s="369"/>
      <c r="G238" s="344"/>
      <c r="H238" s="345"/>
      <c r="I238" s="170"/>
      <c r="K238" s="100"/>
      <c r="L238" s="491">
        <v>1834.52</v>
      </c>
      <c r="M238" s="491">
        <v>2054.13</v>
      </c>
      <c r="N238" s="3">
        <v>0</v>
      </c>
      <c r="O238" s="3">
        <v>829</v>
      </c>
      <c r="P238" s="3">
        <v>0</v>
      </c>
      <c r="Q238" s="3">
        <v>0</v>
      </c>
      <c r="R238" s="3">
        <v>0</v>
      </c>
    </row>
    <row r="239" spans="1:18" ht="12" customHeight="1">
      <c r="A239" s="394"/>
      <c r="B239" s="68">
        <v>637012</v>
      </c>
      <c r="C239" s="69" t="s">
        <v>359</v>
      </c>
      <c r="D239" s="369"/>
      <c r="E239" s="344"/>
      <c r="F239" s="369"/>
      <c r="G239" s="344"/>
      <c r="H239" s="345"/>
      <c r="I239" s="170"/>
      <c r="K239" s="100"/>
      <c r="L239" s="491">
        <v>497.74</v>
      </c>
      <c r="M239" s="491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</row>
    <row r="240" spans="1:18" ht="12" customHeight="1">
      <c r="A240" s="90"/>
      <c r="B240" s="68">
        <v>637037</v>
      </c>
      <c r="C240" s="69" t="s">
        <v>401</v>
      </c>
      <c r="D240" s="369"/>
      <c r="E240" s="344"/>
      <c r="F240" s="369"/>
      <c r="G240" s="344"/>
      <c r="H240" s="345"/>
      <c r="I240" s="170"/>
      <c r="K240" s="100"/>
      <c r="L240" s="521">
        <v>349.05</v>
      </c>
      <c r="M240" s="521">
        <v>1973.42</v>
      </c>
      <c r="N240" s="396">
        <v>0</v>
      </c>
      <c r="O240" s="396">
        <v>1</v>
      </c>
      <c r="P240" s="396">
        <v>0</v>
      </c>
      <c r="Q240" s="396">
        <v>0</v>
      </c>
      <c r="R240" s="396">
        <v>0</v>
      </c>
    </row>
    <row r="241" spans="1:18" ht="12" customHeight="1">
      <c r="A241" s="375" t="s">
        <v>332</v>
      </c>
      <c r="B241" s="376" t="s">
        <v>333</v>
      </c>
      <c r="C241" s="372"/>
      <c r="D241" s="377"/>
      <c r="E241" s="378"/>
      <c r="F241" s="377"/>
      <c r="G241" s="378"/>
      <c r="H241" s="379"/>
      <c r="I241" s="380"/>
      <c r="J241" s="381"/>
      <c r="K241" s="382"/>
      <c r="L241" s="520">
        <f aca="true" t="shared" si="22" ref="L241:R241">SUM(L242:L244)</f>
        <v>300</v>
      </c>
      <c r="M241" s="520">
        <f t="shared" si="22"/>
        <v>300.1</v>
      </c>
      <c r="N241" s="424">
        <f t="shared" si="22"/>
        <v>300</v>
      </c>
      <c r="O241" s="424">
        <f t="shared" si="22"/>
        <v>300</v>
      </c>
      <c r="P241" s="424">
        <f t="shared" si="22"/>
        <v>300</v>
      </c>
      <c r="Q241" s="424">
        <f t="shared" si="22"/>
        <v>300</v>
      </c>
      <c r="R241" s="424">
        <f t="shared" si="22"/>
        <v>300</v>
      </c>
    </row>
    <row r="242" spans="1:19" ht="12" customHeight="1">
      <c r="A242" s="389"/>
      <c r="B242" s="541">
        <v>633006</v>
      </c>
      <c r="C242" s="395" t="s">
        <v>202</v>
      </c>
      <c r="D242" s="383"/>
      <c r="E242" s="384"/>
      <c r="F242" s="383"/>
      <c r="G242" s="384"/>
      <c r="H242" s="385"/>
      <c r="I242" s="386"/>
      <c r="J242" s="387"/>
      <c r="K242" s="388"/>
      <c r="L242" s="521">
        <v>100</v>
      </c>
      <c r="M242" s="521">
        <v>100</v>
      </c>
      <c r="N242" s="396">
        <v>100</v>
      </c>
      <c r="O242" s="396">
        <v>100</v>
      </c>
      <c r="P242" s="396">
        <v>100</v>
      </c>
      <c r="Q242" s="396">
        <v>100</v>
      </c>
      <c r="R242" s="396">
        <v>100</v>
      </c>
      <c r="S242" s="589"/>
    </row>
    <row r="243" spans="1:18" ht="12" customHeight="1">
      <c r="A243" s="389"/>
      <c r="B243" s="541">
        <v>633006</v>
      </c>
      <c r="C243" s="395" t="s">
        <v>203</v>
      </c>
      <c r="D243" s="383"/>
      <c r="E243" s="384"/>
      <c r="F243" s="383"/>
      <c r="G243" s="384"/>
      <c r="H243" s="385"/>
      <c r="I243" s="386"/>
      <c r="J243" s="387"/>
      <c r="K243" s="388"/>
      <c r="L243" s="521">
        <v>100</v>
      </c>
      <c r="M243" s="521">
        <v>100.1</v>
      </c>
      <c r="N243" s="396">
        <v>100</v>
      </c>
      <c r="O243" s="396">
        <v>100</v>
      </c>
      <c r="P243" s="396">
        <v>100</v>
      </c>
      <c r="Q243" s="396">
        <v>100</v>
      </c>
      <c r="R243" s="396">
        <v>100</v>
      </c>
    </row>
    <row r="244" spans="1:18" ht="12" customHeight="1">
      <c r="A244" s="389"/>
      <c r="B244" s="541">
        <v>633006</v>
      </c>
      <c r="C244" s="395" t="s">
        <v>235</v>
      </c>
      <c r="D244" s="383"/>
      <c r="E244" s="384"/>
      <c r="F244" s="383"/>
      <c r="G244" s="384"/>
      <c r="H244" s="385"/>
      <c r="I244" s="386"/>
      <c r="J244" s="387"/>
      <c r="K244" s="388"/>
      <c r="L244" s="521">
        <v>100</v>
      </c>
      <c r="M244" s="521">
        <v>100</v>
      </c>
      <c r="N244" s="396">
        <v>100</v>
      </c>
      <c r="O244" s="396">
        <v>100</v>
      </c>
      <c r="P244" s="396">
        <v>100</v>
      </c>
      <c r="Q244" s="396">
        <v>100</v>
      </c>
      <c r="R244" s="396">
        <v>100</v>
      </c>
    </row>
    <row r="245" spans="1:18" ht="12" customHeight="1">
      <c r="A245" s="375" t="s">
        <v>332</v>
      </c>
      <c r="B245" s="376" t="s">
        <v>334</v>
      </c>
      <c r="C245" s="372"/>
      <c r="D245" s="369"/>
      <c r="E245" s="344"/>
      <c r="F245" s="369"/>
      <c r="G245" s="344"/>
      <c r="H245" s="345"/>
      <c r="I245" s="170"/>
      <c r="K245" s="100"/>
      <c r="L245" s="538">
        <f>SUM(L246:L250)</f>
        <v>1609.54</v>
      </c>
      <c r="M245" s="538">
        <f aca="true" t="shared" si="23" ref="M245:R245">SUM(M246:M250)</f>
        <v>1704.17</v>
      </c>
      <c r="N245" s="539">
        <f>SUM(N246:N250)</f>
        <v>1770</v>
      </c>
      <c r="O245" s="539">
        <f t="shared" si="23"/>
        <v>2069</v>
      </c>
      <c r="P245" s="539">
        <f t="shared" si="23"/>
        <v>1820</v>
      </c>
      <c r="Q245" s="539">
        <f t="shared" si="23"/>
        <v>2170</v>
      </c>
      <c r="R245" s="539">
        <f t="shared" si="23"/>
        <v>1870</v>
      </c>
    </row>
    <row r="246" spans="1:18" ht="12" customHeight="1">
      <c r="A246" s="556"/>
      <c r="B246" s="68">
        <v>637002</v>
      </c>
      <c r="C246" s="69" t="s">
        <v>256</v>
      </c>
      <c r="D246" s="78"/>
      <c r="E246" s="93"/>
      <c r="F246" s="78"/>
      <c r="G246" s="124"/>
      <c r="H246" s="123"/>
      <c r="I246" s="3"/>
      <c r="K246" s="100"/>
      <c r="L246" s="516">
        <v>789.42</v>
      </c>
      <c r="M246" s="516">
        <v>1078.77</v>
      </c>
      <c r="N246" s="168">
        <v>1050</v>
      </c>
      <c r="O246" s="168">
        <v>1094</v>
      </c>
      <c r="P246" s="168">
        <v>1100</v>
      </c>
      <c r="Q246" s="168">
        <v>1100</v>
      </c>
      <c r="R246" s="168">
        <v>1150</v>
      </c>
    </row>
    <row r="247" spans="1:19" ht="12" customHeight="1">
      <c r="A247" s="556"/>
      <c r="B247" s="68">
        <v>637002</v>
      </c>
      <c r="C247" s="69" t="s">
        <v>257</v>
      </c>
      <c r="D247" s="78"/>
      <c r="E247" s="93"/>
      <c r="F247" s="78"/>
      <c r="G247" s="124"/>
      <c r="H247" s="123"/>
      <c r="I247" s="3"/>
      <c r="K247" s="100"/>
      <c r="L247" s="516">
        <v>135.75</v>
      </c>
      <c r="M247" s="516">
        <v>0</v>
      </c>
      <c r="N247" s="168">
        <v>0</v>
      </c>
      <c r="O247" s="168">
        <v>350</v>
      </c>
      <c r="P247" s="168">
        <v>0</v>
      </c>
      <c r="Q247" s="168">
        <v>350</v>
      </c>
      <c r="R247" s="168">
        <v>0</v>
      </c>
      <c r="S247" s="589"/>
    </row>
    <row r="248" spans="1:18" ht="12" customHeight="1">
      <c r="A248" s="556"/>
      <c r="B248" s="68">
        <v>637002</v>
      </c>
      <c r="C248" s="69" t="s">
        <v>258</v>
      </c>
      <c r="D248" s="109"/>
      <c r="E248" s="118"/>
      <c r="F248" s="109"/>
      <c r="G248" s="109" t="e">
        <f>+#REF!</f>
        <v>#REF!</v>
      </c>
      <c r="H248" s="111" t="e">
        <f>+#REF!</f>
        <v>#REF!</v>
      </c>
      <c r="I248" s="112" t="e">
        <f>+#REF!</f>
        <v>#REF!</v>
      </c>
      <c r="K248" s="100"/>
      <c r="L248" s="516">
        <v>500.62</v>
      </c>
      <c r="M248" s="516">
        <v>504.38</v>
      </c>
      <c r="N248" s="168">
        <v>500</v>
      </c>
      <c r="O248" s="168">
        <v>405</v>
      </c>
      <c r="P248" s="168">
        <v>500</v>
      </c>
      <c r="Q248" s="168">
        <v>500</v>
      </c>
      <c r="R248" s="168">
        <v>500</v>
      </c>
    </row>
    <row r="249" spans="1:18" ht="12" customHeight="1">
      <c r="A249" s="556"/>
      <c r="B249" s="68">
        <v>637002</v>
      </c>
      <c r="C249" s="69" t="s">
        <v>296</v>
      </c>
      <c r="D249" s="105"/>
      <c r="E249" s="93"/>
      <c r="F249" s="105"/>
      <c r="G249" s="93"/>
      <c r="H249" s="123"/>
      <c r="I249" s="3"/>
      <c r="K249" s="100"/>
      <c r="L249" s="516">
        <v>94.29</v>
      </c>
      <c r="M249" s="516">
        <v>0</v>
      </c>
      <c r="N249" s="168">
        <v>100</v>
      </c>
      <c r="O249" s="168">
        <v>100</v>
      </c>
      <c r="P249" s="168">
        <v>100</v>
      </c>
      <c r="Q249" s="168">
        <v>100</v>
      </c>
      <c r="R249" s="168">
        <v>100</v>
      </c>
    </row>
    <row r="250" spans="1:18" ht="12" customHeight="1">
      <c r="A250" s="556"/>
      <c r="B250" s="68">
        <v>637002</v>
      </c>
      <c r="C250" s="69" t="s">
        <v>278</v>
      </c>
      <c r="D250" s="105"/>
      <c r="E250" s="93"/>
      <c r="F250" s="105"/>
      <c r="G250" s="93"/>
      <c r="H250" s="123"/>
      <c r="I250" s="3"/>
      <c r="K250" s="100"/>
      <c r="L250" s="516">
        <v>89.46</v>
      </c>
      <c r="M250" s="516">
        <v>121.02</v>
      </c>
      <c r="N250" s="168">
        <v>120</v>
      </c>
      <c r="O250" s="168">
        <v>120</v>
      </c>
      <c r="P250" s="168">
        <v>120</v>
      </c>
      <c r="Q250" s="168">
        <v>120</v>
      </c>
      <c r="R250" s="168">
        <v>120</v>
      </c>
    </row>
    <row r="251" spans="1:18" ht="12" customHeight="1">
      <c r="A251" s="319" t="s">
        <v>182</v>
      </c>
      <c r="B251" s="320"/>
      <c r="C251" s="341"/>
      <c r="D251" s="322">
        <f>SUM(D252:D254)</f>
        <v>52</v>
      </c>
      <c r="E251" s="323">
        <f>SUM(E254:E255)</f>
        <v>0</v>
      </c>
      <c r="F251" s="322">
        <f>SUM(F252:F254)</f>
        <v>52</v>
      </c>
      <c r="G251" s="322" t="e">
        <f>+#REF!+G253</f>
        <v>#REF!</v>
      </c>
      <c r="H251" s="323" t="e">
        <f>+#REF!+H253</f>
        <v>#REF!</v>
      </c>
      <c r="I251" s="325" t="e">
        <f>+#REF!+I253</f>
        <v>#REF!</v>
      </c>
      <c r="J251" s="328"/>
      <c r="K251" s="329"/>
      <c r="L251" s="525">
        <f aca="true" t="shared" si="24" ref="L251:R251">SUM(L252:L255)</f>
        <v>471.96</v>
      </c>
      <c r="M251" s="525">
        <f t="shared" si="24"/>
        <v>717.6999999999999</v>
      </c>
      <c r="N251" s="333">
        <f t="shared" si="24"/>
        <v>754</v>
      </c>
      <c r="O251" s="333">
        <f t="shared" si="24"/>
        <v>759</v>
      </c>
      <c r="P251" s="333">
        <f t="shared" si="24"/>
        <v>754</v>
      </c>
      <c r="Q251" s="333">
        <f t="shared" si="24"/>
        <v>754</v>
      </c>
      <c r="R251" s="333">
        <f t="shared" si="24"/>
        <v>754</v>
      </c>
    </row>
    <row r="252" spans="1:18" ht="12" customHeight="1" hidden="1" outlineLevel="1">
      <c r="A252" s="90"/>
      <c r="B252" s="68">
        <v>633006</v>
      </c>
      <c r="C252" s="122" t="s">
        <v>80</v>
      </c>
      <c r="D252" s="78">
        <v>2</v>
      </c>
      <c r="E252" s="93"/>
      <c r="F252" s="78">
        <f>+D252</f>
        <v>2</v>
      </c>
      <c r="G252" s="5">
        <v>0</v>
      </c>
      <c r="H252" s="123">
        <f>+G252/D252</f>
        <v>0</v>
      </c>
      <c r="I252" s="3">
        <f>+F252</f>
        <v>2</v>
      </c>
      <c r="K252" s="100"/>
      <c r="L252" s="491"/>
      <c r="M252" s="491"/>
      <c r="N252" s="3"/>
      <c r="O252" s="168"/>
      <c r="P252" s="3"/>
      <c r="Q252" s="3"/>
      <c r="R252" s="3"/>
    </row>
    <row r="253" spans="1:18" ht="12" customHeight="1" collapsed="1">
      <c r="A253" s="394"/>
      <c r="B253" s="68">
        <v>635006</v>
      </c>
      <c r="C253" s="93" t="s">
        <v>42</v>
      </c>
      <c r="D253" s="120"/>
      <c r="E253" s="118"/>
      <c r="F253" s="110"/>
      <c r="G253" s="126">
        <f>+G254</f>
        <v>43</v>
      </c>
      <c r="H253" s="110">
        <f>+H254</f>
        <v>0.86</v>
      </c>
      <c r="I253" s="112">
        <f>+I254</f>
        <v>80</v>
      </c>
      <c r="K253" s="100"/>
      <c r="L253" s="491">
        <v>418.06</v>
      </c>
      <c r="M253" s="491">
        <v>663.8</v>
      </c>
      <c r="N253" s="3">
        <v>700</v>
      </c>
      <c r="O253" s="168">
        <v>700</v>
      </c>
      <c r="P253" s="3">
        <v>700</v>
      </c>
      <c r="Q253" s="3">
        <v>700</v>
      </c>
      <c r="R253" s="3">
        <v>700</v>
      </c>
    </row>
    <row r="254" spans="1:18" ht="12" customHeight="1" hidden="1" outlineLevel="1">
      <c r="A254" s="90"/>
      <c r="B254" s="68">
        <v>635006</v>
      </c>
      <c r="C254" s="69" t="s">
        <v>91</v>
      </c>
      <c r="D254" s="78">
        <v>50</v>
      </c>
      <c r="E254" s="93"/>
      <c r="F254" s="78">
        <f>+D254</f>
        <v>50</v>
      </c>
      <c r="G254" s="5">
        <v>43</v>
      </c>
      <c r="H254" s="123">
        <f>+G254/D254</f>
        <v>0.86</v>
      </c>
      <c r="I254" s="3">
        <v>80</v>
      </c>
      <c r="K254" s="100"/>
      <c r="L254" s="491"/>
      <c r="M254" s="491"/>
      <c r="N254" s="3"/>
      <c r="O254" s="168"/>
      <c r="P254" s="3"/>
      <c r="Q254" s="3"/>
      <c r="R254" s="3"/>
    </row>
    <row r="255" spans="1:18" ht="12" customHeight="1" collapsed="1">
      <c r="A255" s="90"/>
      <c r="B255" s="68">
        <v>637012</v>
      </c>
      <c r="C255" s="69" t="s">
        <v>229</v>
      </c>
      <c r="D255" s="93"/>
      <c r="E255" s="93"/>
      <c r="F255" s="93"/>
      <c r="G255" s="93"/>
      <c r="H255" s="123"/>
      <c r="I255" s="5"/>
      <c r="K255" s="100"/>
      <c r="L255" s="491">
        <v>53.9</v>
      </c>
      <c r="M255" s="491">
        <v>53.9</v>
      </c>
      <c r="N255" s="5">
        <v>54</v>
      </c>
      <c r="O255" s="168">
        <v>59</v>
      </c>
      <c r="P255" s="5">
        <v>54</v>
      </c>
      <c r="Q255" s="5">
        <v>54</v>
      </c>
      <c r="R255" s="3">
        <v>54</v>
      </c>
    </row>
    <row r="256" spans="1:18" ht="12" customHeight="1">
      <c r="A256" s="319" t="s">
        <v>210</v>
      </c>
      <c r="B256" s="338"/>
      <c r="C256" s="339"/>
      <c r="D256" s="322">
        <f>SUM(D263:D275)</f>
        <v>274</v>
      </c>
      <c r="E256" s="323">
        <f>SUM(E263:E275)</f>
        <v>0</v>
      </c>
      <c r="F256" s="322">
        <f>SUM(F263:F275)</f>
        <v>274</v>
      </c>
      <c r="G256" s="322" t="e">
        <f>+#REF!+G266+G268+#REF!</f>
        <v>#REF!</v>
      </c>
      <c r="H256" s="323" t="e">
        <f>+#REF!+H266+H268+#REF!</f>
        <v>#REF!</v>
      </c>
      <c r="I256" s="325" t="e">
        <f>+#REF!+I266+I268+#REF!+I259</f>
        <v>#REF!</v>
      </c>
      <c r="J256" s="328"/>
      <c r="K256" s="329"/>
      <c r="L256" s="525">
        <f aca="true" t="shared" si="25" ref="L256:R256">SUM(L257:L274)</f>
        <v>5355.63</v>
      </c>
      <c r="M256" s="525">
        <f t="shared" si="25"/>
        <v>2259.38</v>
      </c>
      <c r="N256" s="333">
        <f t="shared" si="25"/>
        <v>3680</v>
      </c>
      <c r="O256" s="333">
        <f t="shared" si="25"/>
        <v>2655</v>
      </c>
      <c r="P256" s="333">
        <f t="shared" si="25"/>
        <v>1805</v>
      </c>
      <c r="Q256" s="333">
        <f t="shared" si="25"/>
        <v>1450</v>
      </c>
      <c r="R256" s="333">
        <f t="shared" si="25"/>
        <v>1500</v>
      </c>
    </row>
    <row r="257" spans="1:18" ht="12" customHeight="1">
      <c r="A257" s="542"/>
      <c r="B257" s="68">
        <v>632001</v>
      </c>
      <c r="C257" s="69" t="s">
        <v>329</v>
      </c>
      <c r="D257" s="105"/>
      <c r="E257" s="93"/>
      <c r="F257" s="105"/>
      <c r="G257" s="93"/>
      <c r="H257" s="123"/>
      <c r="I257" s="3"/>
      <c r="K257" s="100"/>
      <c r="L257" s="516">
        <v>489.41</v>
      </c>
      <c r="M257" s="516">
        <v>399.51</v>
      </c>
      <c r="N257" s="168">
        <v>450</v>
      </c>
      <c r="O257" s="168">
        <v>315</v>
      </c>
      <c r="P257" s="168">
        <v>315</v>
      </c>
      <c r="Q257" s="168">
        <v>310</v>
      </c>
      <c r="R257" s="168">
        <v>310</v>
      </c>
    </row>
    <row r="258" spans="1:18" ht="12" customHeight="1">
      <c r="A258" s="542"/>
      <c r="B258" s="68">
        <v>632002</v>
      </c>
      <c r="C258" s="69" t="s">
        <v>330</v>
      </c>
      <c r="D258" s="109"/>
      <c r="E258" s="118"/>
      <c r="F258" s="109"/>
      <c r="G258" s="109">
        <f>SUM(G259:G260)</f>
        <v>293</v>
      </c>
      <c r="H258" s="111">
        <f>SUM(H259:H260)</f>
        <v>7.868095238095239</v>
      </c>
      <c r="I258" s="112">
        <f>SUM(I259:I260)</f>
        <v>0</v>
      </c>
      <c r="K258" s="100"/>
      <c r="L258" s="516">
        <v>39.24</v>
      </c>
      <c r="M258" s="516">
        <v>88.73</v>
      </c>
      <c r="N258" s="168">
        <v>90</v>
      </c>
      <c r="O258" s="168">
        <v>90</v>
      </c>
      <c r="P258" s="168">
        <v>90</v>
      </c>
      <c r="Q258" s="168">
        <v>90</v>
      </c>
      <c r="R258" s="168">
        <v>90</v>
      </c>
    </row>
    <row r="259" spans="1:18" ht="12" customHeight="1">
      <c r="A259" s="90"/>
      <c r="B259" s="68">
        <v>633006</v>
      </c>
      <c r="C259" s="93" t="s">
        <v>41</v>
      </c>
      <c r="D259" s="109"/>
      <c r="E259" s="118"/>
      <c r="F259" s="111">
        <f>+D259</f>
        <v>0</v>
      </c>
      <c r="G259" s="112">
        <f>SUM(G260:G269)</f>
        <v>270</v>
      </c>
      <c r="H259" s="162">
        <f>SUM(H260:H269)</f>
        <v>7.293095238095239</v>
      </c>
      <c r="I259" s="112">
        <f>+I260</f>
        <v>0</v>
      </c>
      <c r="K259" s="100"/>
      <c r="L259" s="491">
        <v>80.99</v>
      </c>
      <c r="M259" s="491">
        <v>33.2</v>
      </c>
      <c r="N259" s="3">
        <v>90</v>
      </c>
      <c r="O259" s="168">
        <v>0</v>
      </c>
      <c r="P259" s="3">
        <v>50</v>
      </c>
      <c r="Q259" s="3">
        <v>0</v>
      </c>
      <c r="R259" s="3">
        <v>50</v>
      </c>
    </row>
    <row r="260" spans="1:18" ht="12" customHeight="1" hidden="1" outlineLevel="1">
      <c r="A260" s="90"/>
      <c r="B260" s="68">
        <v>633016</v>
      </c>
      <c r="C260" s="69" t="s">
        <v>83</v>
      </c>
      <c r="D260" s="78">
        <v>40</v>
      </c>
      <c r="E260" s="93"/>
      <c r="F260" s="103">
        <f>+D260</f>
        <v>40</v>
      </c>
      <c r="G260" s="5">
        <f>34-11</f>
        <v>23</v>
      </c>
      <c r="H260" s="161">
        <f>+G260/D260</f>
        <v>0.575</v>
      </c>
      <c r="I260" s="3">
        <v>0</v>
      </c>
      <c r="K260" s="100"/>
      <c r="L260" s="516"/>
      <c r="M260" s="516"/>
      <c r="N260" s="168"/>
      <c r="O260" s="168"/>
      <c r="P260" s="168"/>
      <c r="Q260" s="168"/>
      <c r="R260" s="168"/>
    </row>
    <row r="261" spans="1:18" ht="12" customHeight="1" outlineLevel="1">
      <c r="A261" s="90"/>
      <c r="B261" s="68">
        <v>633006</v>
      </c>
      <c r="C261" s="69" t="s">
        <v>320</v>
      </c>
      <c r="D261" s="105"/>
      <c r="E261" s="93"/>
      <c r="F261" s="105"/>
      <c r="G261" s="93"/>
      <c r="H261" s="123"/>
      <c r="I261" s="3"/>
      <c r="K261" s="100"/>
      <c r="L261" s="516">
        <v>437.8</v>
      </c>
      <c r="M261" s="516">
        <v>0</v>
      </c>
      <c r="N261" s="168">
        <v>0</v>
      </c>
      <c r="O261" s="168">
        <v>0</v>
      </c>
      <c r="P261" s="168">
        <v>0</v>
      </c>
      <c r="Q261" s="168">
        <v>0</v>
      </c>
      <c r="R261" s="168">
        <v>0</v>
      </c>
    </row>
    <row r="262" spans="1:18" ht="12" customHeight="1" outlineLevel="1">
      <c r="A262" s="90"/>
      <c r="B262" s="68">
        <v>633006</v>
      </c>
      <c r="C262" s="69" t="s">
        <v>274</v>
      </c>
      <c r="D262" s="93"/>
      <c r="E262" s="93"/>
      <c r="F262" s="93"/>
      <c r="G262" s="93"/>
      <c r="H262" s="123"/>
      <c r="I262" s="5"/>
      <c r="K262" s="100"/>
      <c r="L262" s="491">
        <v>1159</v>
      </c>
      <c r="M262" s="491">
        <v>0</v>
      </c>
      <c r="N262" s="5">
        <v>0</v>
      </c>
      <c r="O262" s="168">
        <v>0</v>
      </c>
      <c r="P262" s="5">
        <v>0</v>
      </c>
      <c r="Q262" s="5">
        <v>0</v>
      </c>
      <c r="R262" s="3">
        <v>0</v>
      </c>
    </row>
    <row r="263" spans="1:18" ht="12" customHeight="1" hidden="1" outlineLevel="1">
      <c r="A263" s="90"/>
      <c r="B263" s="91" t="s">
        <v>14</v>
      </c>
      <c r="C263" s="69" t="s">
        <v>75</v>
      </c>
      <c r="D263" s="92">
        <v>25</v>
      </c>
      <c r="E263" s="93"/>
      <c r="F263" s="92">
        <f>+D263</f>
        <v>25</v>
      </c>
      <c r="G263" s="5">
        <v>18</v>
      </c>
      <c r="H263" s="123">
        <f>+G263/D263</f>
        <v>0.72</v>
      </c>
      <c r="I263" s="5">
        <f>+F263</f>
        <v>25</v>
      </c>
      <c r="K263" s="100"/>
      <c r="L263" s="516"/>
      <c r="M263" s="516"/>
      <c r="N263" s="169"/>
      <c r="O263" s="168"/>
      <c r="P263" s="169"/>
      <c r="Q263" s="169"/>
      <c r="R263" s="168"/>
    </row>
    <row r="264" spans="1:18" ht="12" customHeight="1" hidden="1" outlineLevel="1">
      <c r="A264" s="90"/>
      <c r="B264" s="68">
        <v>632002</v>
      </c>
      <c r="C264" s="69" t="s">
        <v>76</v>
      </c>
      <c r="D264" s="78">
        <v>15</v>
      </c>
      <c r="E264" s="93"/>
      <c r="F264" s="92">
        <f aca="true" t="shared" si="26" ref="F264:F275">+D264</f>
        <v>15</v>
      </c>
      <c r="G264" s="5">
        <v>4</v>
      </c>
      <c r="H264" s="123">
        <f>+G264/D264</f>
        <v>0.26666666666666666</v>
      </c>
      <c r="I264" s="5">
        <v>10</v>
      </c>
      <c r="K264" s="100"/>
      <c r="L264" s="516"/>
      <c r="M264" s="516"/>
      <c r="N264" s="169"/>
      <c r="O264" s="168"/>
      <c r="P264" s="169"/>
      <c r="Q264" s="169"/>
      <c r="R264" s="168"/>
    </row>
    <row r="265" spans="1:18" ht="12" customHeight="1" outlineLevel="1">
      <c r="A265" s="90"/>
      <c r="B265" s="68">
        <v>633015</v>
      </c>
      <c r="C265" s="69" t="s">
        <v>230</v>
      </c>
      <c r="D265" s="78"/>
      <c r="E265" s="93"/>
      <c r="F265" s="93"/>
      <c r="G265" s="124"/>
      <c r="H265" s="123"/>
      <c r="I265" s="5"/>
      <c r="K265" s="100"/>
      <c r="L265" s="516">
        <v>103.49</v>
      </c>
      <c r="M265" s="516">
        <v>159.57</v>
      </c>
      <c r="N265" s="169">
        <v>200</v>
      </c>
      <c r="O265" s="168">
        <v>200</v>
      </c>
      <c r="P265" s="169">
        <v>200</v>
      </c>
      <c r="Q265" s="169">
        <v>200</v>
      </c>
      <c r="R265" s="168">
        <v>200</v>
      </c>
    </row>
    <row r="266" spans="1:19" ht="12" customHeight="1">
      <c r="A266" s="90"/>
      <c r="B266" s="68">
        <v>635006</v>
      </c>
      <c r="C266" s="93" t="s">
        <v>42</v>
      </c>
      <c r="D266" s="120"/>
      <c r="E266" s="118"/>
      <c r="F266" s="110"/>
      <c r="G266" s="131">
        <f>SUM(G267:G267)</f>
        <v>3</v>
      </c>
      <c r="H266" s="118">
        <f>SUM(H267:H267)</f>
        <v>0.3</v>
      </c>
      <c r="I266" s="121">
        <f>SUM(I267:I267)</f>
        <v>10</v>
      </c>
      <c r="K266" s="100"/>
      <c r="L266" s="516">
        <v>1232.03</v>
      </c>
      <c r="M266" s="516">
        <v>0</v>
      </c>
      <c r="N266" s="169">
        <v>200</v>
      </c>
      <c r="O266" s="168">
        <v>0</v>
      </c>
      <c r="P266" s="169">
        <v>200</v>
      </c>
      <c r="Q266" s="169">
        <v>200</v>
      </c>
      <c r="R266" s="168">
        <v>200</v>
      </c>
      <c r="S266" s="589"/>
    </row>
    <row r="267" spans="1:18" ht="12" customHeight="1" hidden="1" outlineLevel="1">
      <c r="A267" s="90"/>
      <c r="B267" s="68">
        <v>635006</v>
      </c>
      <c r="C267" s="69" t="s">
        <v>91</v>
      </c>
      <c r="D267" s="78">
        <v>10</v>
      </c>
      <c r="E267" s="93"/>
      <c r="F267" s="92">
        <f t="shared" si="26"/>
        <v>10</v>
      </c>
      <c r="G267" s="5">
        <v>3</v>
      </c>
      <c r="H267" s="123">
        <f>+G267/D267</f>
        <v>0.3</v>
      </c>
      <c r="I267" s="5">
        <f>+F267</f>
        <v>10</v>
      </c>
      <c r="K267" s="100"/>
      <c r="L267" s="516"/>
      <c r="M267" s="516"/>
      <c r="N267" s="169"/>
      <c r="O267" s="168"/>
      <c r="P267" s="169"/>
      <c r="Q267" s="169"/>
      <c r="R267" s="168"/>
    </row>
    <row r="268" spans="1:18" ht="14.25" customHeight="1" collapsed="1">
      <c r="A268" s="90"/>
      <c r="B268" s="68">
        <v>637004</v>
      </c>
      <c r="C268" s="93" t="s">
        <v>211</v>
      </c>
      <c r="D268" s="109"/>
      <c r="E268" s="118"/>
      <c r="F268" s="110"/>
      <c r="G268" s="126">
        <f>SUM(G269:G272)</f>
        <v>145</v>
      </c>
      <c r="H268" s="110">
        <f>SUM(H269:H272)</f>
        <v>3.6514285714285712</v>
      </c>
      <c r="I268" s="112">
        <f>SUM(I269:I272)</f>
        <v>183</v>
      </c>
      <c r="K268" s="100"/>
      <c r="L268" s="516">
        <v>339.25</v>
      </c>
      <c r="M268" s="516">
        <v>630.86</v>
      </c>
      <c r="N268" s="168">
        <v>650</v>
      </c>
      <c r="O268" s="168">
        <v>650</v>
      </c>
      <c r="P268" s="168">
        <v>650</v>
      </c>
      <c r="Q268" s="168">
        <v>650</v>
      </c>
      <c r="R268" s="168">
        <v>650</v>
      </c>
    </row>
    <row r="269" spans="1:18" ht="12" customHeight="1" hidden="1" outlineLevel="1">
      <c r="A269" s="90"/>
      <c r="B269" s="68">
        <v>637001</v>
      </c>
      <c r="C269" s="69" t="s">
        <v>93</v>
      </c>
      <c r="D269" s="92">
        <v>50</v>
      </c>
      <c r="E269" s="93"/>
      <c r="F269" s="92">
        <f t="shared" si="26"/>
        <v>50</v>
      </c>
      <c r="G269" s="5">
        <f>63+11</f>
        <v>74</v>
      </c>
      <c r="H269" s="123">
        <f>+G269/D269</f>
        <v>1.48</v>
      </c>
      <c r="I269" s="5">
        <v>100</v>
      </c>
      <c r="K269" s="100"/>
      <c r="L269" s="516"/>
      <c r="M269" s="516"/>
      <c r="N269" s="169"/>
      <c r="O269" s="168"/>
      <c r="P269" s="169"/>
      <c r="Q269" s="169"/>
      <c r="R269" s="168"/>
    </row>
    <row r="270" spans="1:18" ht="12" customHeight="1" hidden="1" outlineLevel="1">
      <c r="A270" s="90"/>
      <c r="B270" s="68">
        <v>637005</v>
      </c>
      <c r="C270" s="69" t="s">
        <v>96</v>
      </c>
      <c r="D270" s="78">
        <v>10</v>
      </c>
      <c r="E270" s="93"/>
      <c r="F270" s="92">
        <f t="shared" si="26"/>
        <v>10</v>
      </c>
      <c r="G270" s="5">
        <v>11</v>
      </c>
      <c r="H270" s="123">
        <f>+G270/D270</f>
        <v>1.1</v>
      </c>
      <c r="I270" s="3">
        <v>15</v>
      </c>
      <c r="K270" s="100"/>
      <c r="L270" s="516"/>
      <c r="M270" s="516"/>
      <c r="N270" s="168"/>
      <c r="O270" s="168"/>
      <c r="P270" s="168"/>
      <c r="Q270" s="168"/>
      <c r="R270" s="168"/>
    </row>
    <row r="271" spans="1:18" ht="12" customHeight="1" hidden="1" outlineLevel="1">
      <c r="A271" s="90"/>
      <c r="B271" s="68">
        <v>637012</v>
      </c>
      <c r="C271" s="69" t="s">
        <v>97</v>
      </c>
      <c r="D271" s="78">
        <v>56</v>
      </c>
      <c r="E271" s="93"/>
      <c r="F271" s="92">
        <f t="shared" si="26"/>
        <v>56</v>
      </c>
      <c r="G271" s="5">
        <v>60</v>
      </c>
      <c r="H271" s="123">
        <f>+G271/D271</f>
        <v>1.0714285714285714</v>
      </c>
      <c r="I271" s="3">
        <v>60</v>
      </c>
      <c r="K271" s="100"/>
      <c r="L271" s="516"/>
      <c r="M271" s="516"/>
      <c r="N271" s="168"/>
      <c r="O271" s="168"/>
      <c r="P271" s="168"/>
      <c r="Q271" s="168"/>
      <c r="R271" s="168"/>
    </row>
    <row r="272" spans="1:18" ht="12" customHeight="1" hidden="1" outlineLevel="1">
      <c r="A272" s="90"/>
      <c r="B272" s="68">
        <v>637026</v>
      </c>
      <c r="C272" s="69" t="s">
        <v>101</v>
      </c>
      <c r="D272" s="78">
        <v>8</v>
      </c>
      <c r="E272" s="93"/>
      <c r="F272" s="92">
        <f t="shared" si="26"/>
        <v>8</v>
      </c>
      <c r="G272" s="5">
        <v>0</v>
      </c>
      <c r="H272" s="123">
        <f>+G272/D272</f>
        <v>0</v>
      </c>
      <c r="I272" s="3">
        <v>8</v>
      </c>
      <c r="K272" s="100"/>
      <c r="L272" s="516"/>
      <c r="M272" s="516"/>
      <c r="N272" s="168"/>
      <c r="O272" s="168"/>
      <c r="P272" s="168"/>
      <c r="Q272" s="168"/>
      <c r="R272" s="168"/>
    </row>
    <row r="273" spans="1:19" ht="12" customHeight="1" outlineLevel="1">
      <c r="A273" s="90"/>
      <c r="B273" s="68">
        <v>637004</v>
      </c>
      <c r="C273" s="69" t="s">
        <v>250</v>
      </c>
      <c r="D273" s="93"/>
      <c r="E273" s="93"/>
      <c r="F273" s="93"/>
      <c r="G273" s="93"/>
      <c r="H273" s="123"/>
      <c r="I273" s="5"/>
      <c r="K273" s="100"/>
      <c r="L273" s="491">
        <v>0</v>
      </c>
      <c r="M273" s="491">
        <v>0</v>
      </c>
      <c r="N273" s="5">
        <v>300</v>
      </c>
      <c r="O273" s="168">
        <v>0</v>
      </c>
      <c r="P273" s="5">
        <v>300</v>
      </c>
      <c r="Q273" s="5">
        <v>0</v>
      </c>
      <c r="R273" s="3">
        <v>0</v>
      </c>
      <c r="S273" s="589"/>
    </row>
    <row r="274" spans="1:18" ht="12" customHeight="1" outlineLevel="1">
      <c r="A274" s="90"/>
      <c r="B274" s="68">
        <v>637027</v>
      </c>
      <c r="C274" s="69" t="s">
        <v>193</v>
      </c>
      <c r="D274" s="78"/>
      <c r="E274" s="93"/>
      <c r="F274" s="92"/>
      <c r="G274" s="124"/>
      <c r="H274" s="123"/>
      <c r="I274" s="3"/>
      <c r="K274" s="100"/>
      <c r="L274" s="516">
        <v>1474.42</v>
      </c>
      <c r="M274" s="516">
        <v>947.51</v>
      </c>
      <c r="N274" s="168">
        <v>1700</v>
      </c>
      <c r="O274" s="168">
        <v>1400</v>
      </c>
      <c r="P274" s="168">
        <v>0</v>
      </c>
      <c r="Q274" s="168">
        <v>0</v>
      </c>
      <c r="R274" s="168">
        <v>0</v>
      </c>
    </row>
    <row r="275" spans="1:18" ht="12" customHeight="1" hidden="1" outlineLevel="1">
      <c r="A275" s="90"/>
      <c r="B275" s="68">
        <v>642002</v>
      </c>
      <c r="C275" s="69" t="s">
        <v>107</v>
      </c>
      <c r="D275" s="78">
        <v>100</v>
      </c>
      <c r="E275" s="93"/>
      <c r="F275" s="92">
        <f t="shared" si="26"/>
        <v>100</v>
      </c>
      <c r="G275" s="5">
        <v>76</v>
      </c>
      <c r="H275" s="123">
        <f>+G275/D275</f>
        <v>0.76</v>
      </c>
      <c r="I275" s="3">
        <v>100</v>
      </c>
      <c r="K275" s="100"/>
      <c r="L275" s="516"/>
      <c r="M275" s="516"/>
      <c r="N275" s="168"/>
      <c r="O275" s="168"/>
      <c r="P275" s="168"/>
      <c r="Q275" s="168"/>
      <c r="R275" s="168"/>
    </row>
    <row r="276" spans="1:18" ht="12" customHeight="1" outlineLevel="1">
      <c r="A276" s="319" t="s">
        <v>331</v>
      </c>
      <c r="B276" s="398"/>
      <c r="C276" s="336"/>
      <c r="D276" s="78"/>
      <c r="E276" s="93"/>
      <c r="F276" s="92"/>
      <c r="G276" s="5"/>
      <c r="H276" s="123"/>
      <c r="I276" s="3"/>
      <c r="K276" s="100"/>
      <c r="L276" s="538">
        <f aca="true" t="shared" si="27" ref="L276:R276">SUM(L277)</f>
        <v>200</v>
      </c>
      <c r="M276" s="538">
        <f t="shared" si="27"/>
        <v>198.88</v>
      </c>
      <c r="N276" s="539">
        <f t="shared" si="27"/>
        <v>200</v>
      </c>
      <c r="O276" s="539">
        <f t="shared" si="27"/>
        <v>200</v>
      </c>
      <c r="P276" s="539">
        <f t="shared" si="27"/>
        <v>200</v>
      </c>
      <c r="Q276" s="539">
        <f t="shared" si="27"/>
        <v>200</v>
      </c>
      <c r="R276" s="539">
        <f t="shared" si="27"/>
        <v>200</v>
      </c>
    </row>
    <row r="277" spans="1:18" ht="12" customHeight="1" outlineLevel="1">
      <c r="A277" s="90"/>
      <c r="B277" s="68">
        <v>633006</v>
      </c>
      <c r="C277" s="69" t="s">
        <v>233</v>
      </c>
      <c r="D277" s="93"/>
      <c r="E277" s="93"/>
      <c r="F277" s="93"/>
      <c r="G277" s="93"/>
      <c r="H277" s="123"/>
      <c r="I277" s="5"/>
      <c r="L277" s="491">
        <v>200</v>
      </c>
      <c r="M277" s="491">
        <v>198.88</v>
      </c>
      <c r="N277" s="5">
        <v>200</v>
      </c>
      <c r="O277" s="3">
        <v>200</v>
      </c>
      <c r="P277" s="5">
        <v>200</v>
      </c>
      <c r="Q277" s="5">
        <v>200</v>
      </c>
      <c r="R277" s="3">
        <v>200</v>
      </c>
    </row>
    <row r="278" spans="1:18" ht="12" customHeight="1">
      <c r="A278" s="319" t="s">
        <v>335</v>
      </c>
      <c r="B278" s="320" t="s">
        <v>183</v>
      </c>
      <c r="C278" s="321"/>
      <c r="D278" s="322">
        <f>SUM(D279:D280)</f>
        <v>0</v>
      </c>
      <c r="E278" s="323">
        <f>SUM(E279:E279)</f>
        <v>0</v>
      </c>
      <c r="F278" s="322">
        <f>SUM(F279:F280)</f>
        <v>0</v>
      </c>
      <c r="G278" s="325">
        <f>SUM(G279:G280)</f>
        <v>0</v>
      </c>
      <c r="H278" s="326" t="e">
        <f>+G278/D278</f>
        <v>#DIV/0!</v>
      </c>
      <c r="I278" s="325">
        <f>SUM(I279:I280)</f>
        <v>0</v>
      </c>
      <c r="J278" s="328"/>
      <c r="K278" s="329"/>
      <c r="L278" s="525">
        <f aca="true" t="shared" si="28" ref="L278:R278">SUM(L279:L281)</f>
        <v>686.51</v>
      </c>
      <c r="M278" s="525">
        <f t="shared" si="28"/>
        <v>430.70000000000005</v>
      </c>
      <c r="N278" s="333">
        <f t="shared" si="28"/>
        <v>635</v>
      </c>
      <c r="O278" s="333">
        <f t="shared" si="28"/>
        <v>720</v>
      </c>
      <c r="P278" s="333">
        <f t="shared" si="28"/>
        <v>720</v>
      </c>
      <c r="Q278" s="333">
        <f t="shared" si="28"/>
        <v>720</v>
      </c>
      <c r="R278" s="333">
        <f t="shared" si="28"/>
        <v>720</v>
      </c>
    </row>
    <row r="279" spans="1:18" ht="12" customHeight="1" outlineLevel="1">
      <c r="A279" s="90"/>
      <c r="B279" s="68">
        <v>642014</v>
      </c>
      <c r="C279" s="69" t="s">
        <v>184</v>
      </c>
      <c r="D279" s="109"/>
      <c r="E279" s="118"/>
      <c r="F279" s="109"/>
      <c r="G279" s="121"/>
      <c r="H279" s="125"/>
      <c r="I279" s="112"/>
      <c r="K279" s="100"/>
      <c r="L279" s="516">
        <v>214.59</v>
      </c>
      <c r="M279" s="516">
        <v>146.52</v>
      </c>
      <c r="N279" s="168">
        <v>200</v>
      </c>
      <c r="O279" s="168">
        <v>200</v>
      </c>
      <c r="P279" s="168">
        <v>200</v>
      </c>
      <c r="Q279" s="168">
        <v>150</v>
      </c>
      <c r="R279" s="168">
        <v>150</v>
      </c>
    </row>
    <row r="280" spans="1:19" ht="12" customHeight="1" outlineLevel="1">
      <c r="A280" s="90"/>
      <c r="B280" s="68">
        <v>637002</v>
      </c>
      <c r="C280" s="69" t="s">
        <v>232</v>
      </c>
      <c r="D280" s="397"/>
      <c r="E280" s="118"/>
      <c r="F280" s="109"/>
      <c r="G280" s="121"/>
      <c r="H280" s="125"/>
      <c r="I280" s="112"/>
      <c r="K280" s="100"/>
      <c r="L280" s="516">
        <v>421.32</v>
      </c>
      <c r="M280" s="516">
        <v>284.18</v>
      </c>
      <c r="N280" s="168">
        <v>400</v>
      </c>
      <c r="O280" s="168">
        <v>400</v>
      </c>
      <c r="P280" s="168">
        <v>400</v>
      </c>
      <c r="Q280" s="168">
        <v>450</v>
      </c>
      <c r="R280" s="168">
        <v>450</v>
      </c>
      <c r="S280" s="589"/>
    </row>
    <row r="281" spans="1:18" ht="12" customHeight="1">
      <c r="A281" s="90"/>
      <c r="B281" s="68">
        <v>637005</v>
      </c>
      <c r="C281" s="69" t="s">
        <v>297</v>
      </c>
      <c r="D281" s="118"/>
      <c r="E281" s="118"/>
      <c r="F281" s="118"/>
      <c r="G281" s="118"/>
      <c r="H281" s="125"/>
      <c r="I281" s="121"/>
      <c r="K281" s="100"/>
      <c r="L281" s="516">
        <v>50.6</v>
      </c>
      <c r="M281" s="516">
        <v>0</v>
      </c>
      <c r="N281" s="169">
        <v>35</v>
      </c>
      <c r="O281" s="168">
        <v>120</v>
      </c>
      <c r="P281" s="169">
        <v>120</v>
      </c>
      <c r="Q281" s="169">
        <v>120</v>
      </c>
      <c r="R281" s="168">
        <v>120</v>
      </c>
    </row>
    <row r="282" spans="1:18" ht="12" customHeight="1" hidden="1" outlineLevel="1">
      <c r="A282" s="117" t="s">
        <v>18</v>
      </c>
      <c r="B282" s="68" t="s">
        <v>140</v>
      </c>
      <c r="C282" s="69" t="s">
        <v>109</v>
      </c>
      <c r="D282" s="78">
        <v>45</v>
      </c>
      <c r="E282" s="93"/>
      <c r="F282" s="78">
        <f>+D282</f>
        <v>45</v>
      </c>
      <c r="G282" s="5">
        <v>1</v>
      </c>
      <c r="H282" s="123">
        <f>+G282/D282</f>
        <v>0.022222222222222223</v>
      </c>
      <c r="I282" s="3">
        <f>+F282</f>
        <v>45</v>
      </c>
      <c r="L282" s="3"/>
      <c r="M282" s="3"/>
      <c r="N282" s="3"/>
      <c r="O282" s="3"/>
      <c r="P282" s="3"/>
      <c r="Q282" s="3"/>
      <c r="R282" s="3"/>
    </row>
    <row r="283" spans="1:18" ht="12" customHeight="1" hidden="1" outlineLevel="1">
      <c r="A283" s="359" t="s">
        <v>130</v>
      </c>
      <c r="B283" s="91" t="s">
        <v>140</v>
      </c>
      <c r="C283" s="69" t="s">
        <v>109</v>
      </c>
      <c r="D283" s="78">
        <v>130</v>
      </c>
      <c r="E283" s="93"/>
      <c r="F283" s="78">
        <f>+D283</f>
        <v>130</v>
      </c>
      <c r="G283" s="5">
        <v>0</v>
      </c>
      <c r="H283" s="123">
        <f>+G283/D283</f>
        <v>0</v>
      </c>
      <c r="I283" s="3">
        <f>+F283</f>
        <v>130</v>
      </c>
      <c r="L283" s="3"/>
      <c r="M283" s="3"/>
      <c r="N283" s="3"/>
      <c r="O283" s="3"/>
      <c r="P283" s="3"/>
      <c r="Q283" s="3"/>
      <c r="R283" s="3"/>
    </row>
    <row r="284" spans="1:18" ht="12" customHeight="1" hidden="1" outlineLevel="1">
      <c r="A284" s="359" t="s">
        <v>131</v>
      </c>
      <c r="B284" s="68" t="s">
        <v>140</v>
      </c>
      <c r="C284" s="69" t="s">
        <v>109</v>
      </c>
      <c r="D284" s="78">
        <v>70</v>
      </c>
      <c r="E284" s="93"/>
      <c r="F284" s="78">
        <f>+D284</f>
        <v>70</v>
      </c>
      <c r="G284" s="5">
        <v>21</v>
      </c>
      <c r="H284" s="123">
        <f>+G284/D284</f>
        <v>0.3</v>
      </c>
      <c r="I284" s="3">
        <f>+F284</f>
        <v>70</v>
      </c>
      <c r="L284" s="3"/>
      <c r="M284" s="3"/>
      <c r="N284" s="3"/>
      <c r="O284" s="3"/>
      <c r="P284" s="3"/>
      <c r="Q284" s="3"/>
      <c r="R284" s="3"/>
    </row>
    <row r="285" spans="1:18" ht="12" customHeight="1" hidden="1" outlineLevel="1">
      <c r="A285" s="359" t="s">
        <v>131</v>
      </c>
      <c r="B285" s="68" t="s">
        <v>141</v>
      </c>
      <c r="C285" s="69" t="s">
        <v>109</v>
      </c>
      <c r="D285" s="78">
        <v>30</v>
      </c>
      <c r="E285" s="93"/>
      <c r="F285" s="78">
        <f>+D285</f>
        <v>30</v>
      </c>
      <c r="G285" s="5">
        <v>11</v>
      </c>
      <c r="H285" s="123">
        <f>+G285/D285</f>
        <v>0.36666666666666664</v>
      </c>
      <c r="I285" s="3">
        <f>+F285</f>
        <v>30</v>
      </c>
      <c r="L285" s="3"/>
      <c r="M285" s="3"/>
      <c r="N285" s="3"/>
      <c r="O285" s="3"/>
      <c r="P285" s="3"/>
      <c r="Q285" s="3"/>
      <c r="R285" s="3"/>
    </row>
    <row r="286" spans="1:18" ht="12" customHeight="1" hidden="1" outlineLevel="1">
      <c r="A286" s="359" t="s">
        <v>131</v>
      </c>
      <c r="B286" s="68">
        <v>642026</v>
      </c>
      <c r="C286" s="69" t="s">
        <v>108</v>
      </c>
      <c r="D286" s="133">
        <v>80</v>
      </c>
      <c r="E286" s="93"/>
      <c r="F286" s="78">
        <f>+D286</f>
        <v>80</v>
      </c>
      <c r="G286" s="5">
        <v>30</v>
      </c>
      <c r="H286" s="123">
        <f>+G286/D286</f>
        <v>0.375</v>
      </c>
      <c r="I286" s="3">
        <v>56</v>
      </c>
      <c r="L286" s="3"/>
      <c r="M286" s="3"/>
      <c r="N286" s="3"/>
      <c r="O286" s="3"/>
      <c r="P286" s="3"/>
      <c r="Q286" s="3"/>
      <c r="R286" s="3"/>
    </row>
    <row r="287" spans="1:18" ht="16.5" customHeight="1" collapsed="1" thickBot="1">
      <c r="A287" s="313" t="s">
        <v>19</v>
      </c>
      <c r="B287" s="314"/>
      <c r="C287" s="315"/>
      <c r="D287" s="316" t="e">
        <f>+#REF!+#REF!+#REF!+D278+#REF!+D256+D251+#REF!+D231+D213+#REF!+D201+#REF!+#REF!+D173+#REF!+D164+#REF!+#REF!+D150+#REF!+D145+#REF!+D138+#REF!+D134+D10</f>
        <v>#REF!</v>
      </c>
      <c r="E287" s="317" t="e">
        <f>+#REF!+#REF!+#REF!+E278+#REF!+E256+E251+#REF!++E231+E213+#REF!+E201+#REF!++#REF!+E173+#REF!++E164+#REF!+#REF!+E150++#REF!+E145+#REF!+E138+#REF!+E134+E10</f>
        <v>#REF!</v>
      </c>
      <c r="F287" s="316" t="e">
        <f>+#REF!+#REF!+#REF!+F278+#REF!+F256+F251+#REF!+F231+F213+#REF!+F201+#REF!+#REF!+F173+#REF!+F164+#REF!+#REF!+F150+#REF!+F145+#REF!+F138+#REF!+F134+F10</f>
        <v>#REF!</v>
      </c>
      <c r="G287" s="318" t="e">
        <f>+#REF!+#REF!+#REF!+G278+#REF!+G256+G251+#REF!++G231+G213+#REF!+G201+#REF!+#REF!++#REF!+G173+#REF!+#REF!+G164+#REF!+#REF!+#REF!+G150++#REF!+G145+#REF!+G138+#REF!+G134+G10</f>
        <v>#REF!</v>
      </c>
      <c r="H287" s="306"/>
      <c r="I287" s="318" t="e">
        <f>+#REF!+#REF!+#REF!+I278+#REF!+I256+I251+#REF!+I231+I213+#REF!+I201+#REF!+#REF!+I173+#REF!+I164+#REF!+#REF!+I150+#REF!+I145+#REF!+I138+#REF!+I134+I10+#REF!+#REF!+#REF!+0</f>
        <v>#REF!</v>
      </c>
      <c r="J287" s="308"/>
      <c r="K287" s="308"/>
      <c r="L287" s="533">
        <f>SUM(L10+L134+L138+L145+L150+L164+L173+L183+L192+L199+L201+L210+L213+L223+L231+L241+L245+L251+L256+L276+L278)</f>
        <v>190245.66999999998</v>
      </c>
      <c r="M287" s="533">
        <f>SUM(M10+M134+M138+M145+M150+M164+M173+M181+M183+M192+M199+M201+M210+M213+M223+M231+M241+M245+M251+M256+M276+M278)</f>
        <v>183577.21000000005</v>
      </c>
      <c r="N287" s="318">
        <f>SUM(N10+N134+N138+N145+N150+N164+N173+N183+N192+N199+N201+N210+N213+N223+N231+N241+N245+N251+N256+N276+N278)</f>
        <v>156424</v>
      </c>
      <c r="O287" s="318">
        <f>SUM(O10+O134+O138+O145+O150+O164+O173+O183+O192+O199+O201+O210+O213+O223+O231+O241+O245+O251+O256+O276+O278)</f>
        <v>229927</v>
      </c>
      <c r="P287" s="318">
        <f>SUM(P10+P134+P138+P145+P150+P164+P173+P181+P183+P192+P199+P201+P210+P213+P223+P231+P241+P245+P251+P256+P276+P278)</f>
        <v>156767</v>
      </c>
      <c r="Q287" s="318">
        <f>SUM(Q10+Q134+Q138+Q145+Q150+Q164+Q173+Q183+Q192+Q199+Q201+Q210+Q213+Q223+Q231+Q241+Q245+Q251+Q256+Q276+Q278)</f>
        <v>132308</v>
      </c>
      <c r="R287" s="318">
        <f>SUM(R10+R134+R138+R145+R150+R164+R173+R183+R192+R199+R201+R210+R213+R223+R231+R241+R245+R251+R256+R276+R278)</f>
        <v>131448</v>
      </c>
    </row>
    <row r="288" spans="1:18" ht="9.75" customHeight="1" thickBot="1" thickTop="1">
      <c r="A288" s="177"/>
      <c r="B288" s="136"/>
      <c r="C288" s="137"/>
      <c r="D288" s="71"/>
      <c r="E288" s="71"/>
      <c r="F288" s="71"/>
      <c r="G288" s="71"/>
      <c r="H288" s="67"/>
      <c r="I288" s="71"/>
      <c r="O288" s="100"/>
      <c r="R288" s="100"/>
    </row>
    <row r="289" spans="1:18" ht="35.25" customHeight="1" thickTop="1">
      <c r="A289" s="258" t="s">
        <v>55</v>
      </c>
      <c r="B289" s="259"/>
      <c r="C289" s="260"/>
      <c r="D289" s="261" t="s">
        <v>38</v>
      </c>
      <c r="E289" s="252"/>
      <c r="F289" s="261" t="s">
        <v>39</v>
      </c>
      <c r="G289" s="262" t="s">
        <v>37</v>
      </c>
      <c r="H289" s="263"/>
      <c r="I289" s="205" t="s">
        <v>61</v>
      </c>
      <c r="J289" s="256"/>
      <c r="K289" s="256"/>
      <c r="L289" s="564" t="s">
        <v>366</v>
      </c>
      <c r="M289" s="564" t="s">
        <v>396</v>
      </c>
      <c r="N289" s="564" t="s">
        <v>364</v>
      </c>
      <c r="O289" s="618" t="s">
        <v>393</v>
      </c>
      <c r="P289" s="564" t="s">
        <v>365</v>
      </c>
      <c r="Q289" s="564" t="s">
        <v>394</v>
      </c>
      <c r="R289" s="618" t="s">
        <v>395</v>
      </c>
    </row>
    <row r="290" spans="1:18" ht="12" customHeight="1">
      <c r="A290" s="330" t="s">
        <v>337</v>
      </c>
      <c r="B290" s="320"/>
      <c r="C290" s="321"/>
      <c r="D290" s="322" t="e">
        <f>SUM(D292:D331)</f>
        <v>#REF!</v>
      </c>
      <c r="E290" s="323" t="e">
        <f>SUM(E292:E330)</f>
        <v>#REF!</v>
      </c>
      <c r="F290" s="323" t="e">
        <f>SUM(F292:F331)</f>
        <v>#REF!</v>
      </c>
      <c r="G290" s="325" t="e">
        <f>+#REF!+#REF!+#REF!</f>
        <v>#REF!</v>
      </c>
      <c r="H290" s="331" t="e">
        <f>+#REF!+#REF!+#REF!</f>
        <v>#REF!</v>
      </c>
      <c r="I290" s="325" t="e">
        <f>+#REF!+#REF!+#REF!</f>
        <v>#REF!</v>
      </c>
      <c r="J290" s="328"/>
      <c r="K290" s="329"/>
      <c r="L290" s="497">
        <f>SUM(L292:L292)</f>
        <v>0</v>
      </c>
      <c r="M290" s="497">
        <f>SUM(M291:M293)</f>
        <v>12000</v>
      </c>
      <c r="N290" s="325">
        <f>SUM(N291:N292)</f>
        <v>2500</v>
      </c>
      <c r="O290" s="325">
        <f>SUM(O291:O293)</f>
        <v>1536</v>
      </c>
      <c r="P290" s="325">
        <f>SUM(P291:P292)</f>
        <v>0</v>
      </c>
      <c r="Q290" s="325">
        <f>SUM(Q291:Q292)</f>
        <v>0</v>
      </c>
      <c r="R290" s="325">
        <f>SUM(R291:R293)</f>
        <v>0</v>
      </c>
    </row>
    <row r="291" spans="1:18" ht="12" customHeight="1">
      <c r="A291" s="579"/>
      <c r="B291" s="581">
        <v>711001</v>
      </c>
      <c r="C291" s="582" t="s">
        <v>367</v>
      </c>
      <c r="D291" s="561"/>
      <c r="E291" s="560"/>
      <c r="F291" s="580"/>
      <c r="G291" s="559"/>
      <c r="H291" s="560"/>
      <c r="I291" s="559"/>
      <c r="J291" s="551"/>
      <c r="K291" s="552"/>
      <c r="L291" s="574">
        <v>0</v>
      </c>
      <c r="M291" s="574">
        <v>12000</v>
      </c>
      <c r="N291" s="575">
        <v>2500</v>
      </c>
      <c r="O291" s="575">
        <v>512</v>
      </c>
      <c r="P291" s="575">
        <v>0</v>
      </c>
      <c r="Q291" s="575">
        <v>0</v>
      </c>
      <c r="R291" s="575">
        <v>0</v>
      </c>
    </row>
    <row r="292" spans="1:18" ht="12" customHeight="1">
      <c r="A292" s="76"/>
      <c r="B292" s="77">
        <v>711005</v>
      </c>
      <c r="C292" s="75" t="s">
        <v>263</v>
      </c>
      <c r="D292" s="78">
        <v>94</v>
      </c>
      <c r="E292" s="2"/>
      <c r="F292" s="78">
        <f>+D292</f>
        <v>94</v>
      </c>
      <c r="G292" s="5">
        <v>94</v>
      </c>
      <c r="H292" s="67">
        <f>+G292/D292</f>
        <v>1</v>
      </c>
      <c r="I292" s="3">
        <v>94</v>
      </c>
      <c r="L292" s="491">
        <v>0</v>
      </c>
      <c r="M292" s="491">
        <v>0</v>
      </c>
      <c r="N292" s="3">
        <v>0</v>
      </c>
      <c r="O292" s="168">
        <v>0</v>
      </c>
      <c r="P292" s="3">
        <v>0</v>
      </c>
      <c r="Q292" s="3">
        <v>0</v>
      </c>
      <c r="R292" s="3">
        <v>0</v>
      </c>
    </row>
    <row r="293" spans="1:18" ht="12" customHeight="1">
      <c r="A293" s="80"/>
      <c r="B293" s="593">
        <v>713002</v>
      </c>
      <c r="C293" s="81" t="s">
        <v>380</v>
      </c>
      <c r="D293" s="78"/>
      <c r="E293" s="2"/>
      <c r="F293" s="78"/>
      <c r="G293" s="124"/>
      <c r="H293" s="67"/>
      <c r="I293" s="3"/>
      <c r="L293" s="491">
        <v>0</v>
      </c>
      <c r="M293" s="491">
        <v>0</v>
      </c>
      <c r="N293" s="3">
        <v>0</v>
      </c>
      <c r="O293" s="168">
        <v>1024</v>
      </c>
      <c r="P293" s="3">
        <v>0</v>
      </c>
      <c r="Q293" s="3">
        <v>0</v>
      </c>
      <c r="R293" s="3">
        <v>0</v>
      </c>
    </row>
    <row r="294" spans="1:18" ht="12" customHeight="1">
      <c r="A294" s="319" t="s">
        <v>185</v>
      </c>
      <c r="B294" s="320"/>
      <c r="C294" s="336"/>
      <c r="D294" s="322" t="e">
        <f>SUM(#REF!)</f>
        <v>#REF!</v>
      </c>
      <c r="E294" s="323" t="e">
        <f>SUM(#REF!)</f>
        <v>#REF!</v>
      </c>
      <c r="F294" s="322" t="e">
        <f>SUM(#REF!)</f>
        <v>#REF!</v>
      </c>
      <c r="G294" s="322" t="e">
        <f>+G296+#REF!</f>
        <v>#REF!</v>
      </c>
      <c r="H294" s="323" t="e">
        <f>+H296+#REF!</f>
        <v>#REF!</v>
      </c>
      <c r="I294" s="325" t="e">
        <f>+I296+#REF!</f>
        <v>#REF!</v>
      </c>
      <c r="J294" s="328"/>
      <c r="K294" s="329"/>
      <c r="L294" s="519">
        <f aca="true" t="shared" si="29" ref="L294:R294">SUM(L295:L296)</f>
        <v>36173.009999999995</v>
      </c>
      <c r="M294" s="519">
        <f t="shared" si="29"/>
        <v>0</v>
      </c>
      <c r="N294" s="327">
        <f t="shared" si="29"/>
        <v>17000</v>
      </c>
      <c r="O294" s="327">
        <f t="shared" si="29"/>
        <v>7800</v>
      </c>
      <c r="P294" s="327">
        <f t="shared" si="29"/>
        <v>21450</v>
      </c>
      <c r="Q294" s="327">
        <f t="shared" si="29"/>
        <v>34392</v>
      </c>
      <c r="R294" s="327">
        <f t="shared" si="29"/>
        <v>36237</v>
      </c>
    </row>
    <row r="295" spans="1:19" ht="12" customHeight="1">
      <c r="A295" s="400"/>
      <c r="B295" s="557">
        <v>717001</v>
      </c>
      <c r="C295" s="401" t="s">
        <v>403</v>
      </c>
      <c r="D295" s="402"/>
      <c r="E295" s="403"/>
      <c r="F295" s="399"/>
      <c r="G295" s="404"/>
      <c r="H295" s="403"/>
      <c r="I295" s="405"/>
      <c r="J295" s="390"/>
      <c r="K295" s="406"/>
      <c r="L295" s="528">
        <v>32613.01</v>
      </c>
      <c r="M295" s="528">
        <v>0</v>
      </c>
      <c r="N295" s="447">
        <v>17000</v>
      </c>
      <c r="O295" s="625">
        <v>0</v>
      </c>
      <c r="P295" s="447">
        <v>21450</v>
      </c>
      <c r="Q295" s="447">
        <v>34392</v>
      </c>
      <c r="R295" s="447">
        <v>36237</v>
      </c>
      <c r="S295" s="594"/>
    </row>
    <row r="296" spans="1:19" ht="12" customHeight="1">
      <c r="A296" s="83"/>
      <c r="B296" s="84">
        <v>714004</v>
      </c>
      <c r="C296" s="85" t="s">
        <v>385</v>
      </c>
      <c r="D296" s="79">
        <v>200</v>
      </c>
      <c r="E296" s="2"/>
      <c r="F296" s="78">
        <f>+D296</f>
        <v>200</v>
      </c>
      <c r="G296" s="5">
        <v>153</v>
      </c>
      <c r="H296" s="67">
        <f>+G296/D296</f>
        <v>0.765</v>
      </c>
      <c r="I296" s="164">
        <v>200</v>
      </c>
      <c r="L296" s="527">
        <v>3560</v>
      </c>
      <c r="M296" s="527">
        <v>0</v>
      </c>
      <c r="N296" s="164">
        <v>0</v>
      </c>
      <c r="O296" s="626">
        <v>7800</v>
      </c>
      <c r="P296" s="164">
        <v>0</v>
      </c>
      <c r="Q296" s="164">
        <v>0</v>
      </c>
      <c r="R296" s="164">
        <v>0</v>
      </c>
      <c r="S296" s="594"/>
    </row>
    <row r="297" spans="1:18" ht="12" customHeight="1">
      <c r="A297" s="337" t="s">
        <v>298</v>
      </c>
      <c r="B297" s="320"/>
      <c r="C297" s="321"/>
      <c r="D297" s="322" t="e">
        <f>+D299</f>
        <v>#REF!</v>
      </c>
      <c r="E297" s="323" t="e">
        <f>+E299</f>
        <v>#REF!</v>
      </c>
      <c r="F297" s="322" t="e">
        <f>+F299</f>
        <v>#REF!</v>
      </c>
      <c r="G297" s="325" t="e">
        <f>+G299</f>
        <v>#REF!</v>
      </c>
      <c r="H297" s="326" t="e">
        <f>+G297/D297</f>
        <v>#REF!</v>
      </c>
      <c r="I297" s="325" t="e">
        <f>+I299</f>
        <v>#REF!</v>
      </c>
      <c r="J297" s="328"/>
      <c r="K297" s="329"/>
      <c r="L297" s="327">
        <f aca="true" t="shared" si="30" ref="L297:R297">SUM(L298)</f>
        <v>0</v>
      </c>
      <c r="M297" s="327">
        <f t="shared" si="30"/>
        <v>0</v>
      </c>
      <c r="N297" s="327">
        <f t="shared" si="30"/>
        <v>1000</v>
      </c>
      <c r="O297" s="327">
        <f t="shared" si="30"/>
        <v>1000</v>
      </c>
      <c r="P297" s="327">
        <f t="shared" si="30"/>
        <v>0</v>
      </c>
      <c r="Q297" s="325">
        <f t="shared" si="30"/>
        <v>0</v>
      </c>
      <c r="R297" s="327">
        <f t="shared" si="30"/>
        <v>0</v>
      </c>
    </row>
    <row r="298" spans="1:21" ht="12" customHeight="1">
      <c r="A298" s="86"/>
      <c r="B298" s="84">
        <v>713004</v>
      </c>
      <c r="C298" s="85" t="s">
        <v>299</v>
      </c>
      <c r="D298" s="79"/>
      <c r="E298" s="2"/>
      <c r="F298" s="78">
        <f>+D298</f>
        <v>0</v>
      </c>
      <c r="G298" s="5">
        <v>4</v>
      </c>
      <c r="H298" s="67"/>
      <c r="I298" s="164">
        <v>0</v>
      </c>
      <c r="L298" s="164">
        <v>0</v>
      </c>
      <c r="M298" s="164">
        <v>0</v>
      </c>
      <c r="N298" s="164">
        <v>1000</v>
      </c>
      <c r="O298" s="626">
        <v>1000</v>
      </c>
      <c r="P298" s="164">
        <v>0</v>
      </c>
      <c r="Q298" s="164">
        <v>0</v>
      </c>
      <c r="R298" s="164">
        <v>0</v>
      </c>
      <c r="U298" s="578"/>
    </row>
    <row r="299" spans="1:18" ht="12" customHeight="1">
      <c r="A299" s="337" t="s">
        <v>129</v>
      </c>
      <c r="B299" s="320"/>
      <c r="C299" s="321"/>
      <c r="D299" s="322" t="e">
        <f>+#REF!</f>
        <v>#REF!</v>
      </c>
      <c r="E299" s="323" t="e">
        <f>+#REF!</f>
        <v>#REF!</v>
      </c>
      <c r="F299" s="322" t="e">
        <f>+#REF!</f>
        <v>#REF!</v>
      </c>
      <c r="G299" s="325" t="e">
        <f>+#REF!</f>
        <v>#REF!</v>
      </c>
      <c r="H299" s="326" t="e">
        <f>+G299/D299</f>
        <v>#REF!</v>
      </c>
      <c r="I299" s="325" t="e">
        <f>+#REF!</f>
        <v>#REF!</v>
      </c>
      <c r="J299" s="328"/>
      <c r="K299" s="329"/>
      <c r="L299" s="519">
        <f aca="true" t="shared" si="31" ref="L299:R299">SUM(L300+L302)</f>
        <v>0</v>
      </c>
      <c r="M299" s="519">
        <f t="shared" si="31"/>
        <v>328502.99</v>
      </c>
      <c r="N299" s="327">
        <f t="shared" si="31"/>
        <v>0</v>
      </c>
      <c r="O299" s="327">
        <f t="shared" si="31"/>
        <v>2000</v>
      </c>
      <c r="P299" s="327">
        <f t="shared" si="31"/>
        <v>2000</v>
      </c>
      <c r="Q299" s="325">
        <f t="shared" si="31"/>
        <v>0</v>
      </c>
      <c r="R299" s="327">
        <f t="shared" si="31"/>
        <v>0</v>
      </c>
    </row>
    <row r="300" spans="1:19" ht="12" customHeight="1">
      <c r="A300" s="632" t="s">
        <v>391</v>
      </c>
      <c r="B300" s="633"/>
      <c r="C300" s="633"/>
      <c r="D300" s="562"/>
      <c r="E300" s="2"/>
      <c r="F300" s="105"/>
      <c r="G300" s="93"/>
      <c r="H300" s="67"/>
      <c r="I300" s="164"/>
      <c r="L300" s="595">
        <f aca="true" t="shared" si="32" ref="L300:R300">SUM(L301)</f>
        <v>0</v>
      </c>
      <c r="M300" s="595">
        <f t="shared" si="32"/>
        <v>0</v>
      </c>
      <c r="N300" s="596">
        <f t="shared" si="32"/>
        <v>0</v>
      </c>
      <c r="O300" s="596">
        <f t="shared" si="32"/>
        <v>2000</v>
      </c>
      <c r="P300" s="596">
        <f t="shared" si="32"/>
        <v>2000</v>
      </c>
      <c r="Q300" s="596">
        <f t="shared" si="32"/>
        <v>0</v>
      </c>
      <c r="R300" s="596">
        <f t="shared" si="32"/>
        <v>0</v>
      </c>
      <c r="S300" s="423"/>
    </row>
    <row r="301" spans="1:19" ht="12" customHeight="1">
      <c r="A301" s="102"/>
      <c r="B301" s="597">
        <v>717001</v>
      </c>
      <c r="C301" s="598" t="s">
        <v>376</v>
      </c>
      <c r="D301" s="105"/>
      <c r="E301" s="93"/>
      <c r="F301" s="105"/>
      <c r="G301" s="93"/>
      <c r="H301" s="123"/>
      <c r="I301" s="3"/>
      <c r="K301" s="100"/>
      <c r="L301" s="491">
        <v>0</v>
      </c>
      <c r="M301" s="491">
        <v>0</v>
      </c>
      <c r="N301" s="3">
        <v>0</v>
      </c>
      <c r="O301" s="3">
        <v>2000</v>
      </c>
      <c r="P301" s="3">
        <v>2000</v>
      </c>
      <c r="Q301" s="3">
        <v>0</v>
      </c>
      <c r="R301" s="3">
        <v>0</v>
      </c>
      <c r="S301" s="423"/>
    </row>
    <row r="302" spans="1:19" ht="12" customHeight="1">
      <c r="A302" s="80"/>
      <c r="B302" s="563" t="s">
        <v>338</v>
      </c>
      <c r="C302" s="81"/>
      <c r="D302" s="562"/>
      <c r="E302" s="2"/>
      <c r="F302" s="105"/>
      <c r="G302" s="93"/>
      <c r="H302" s="67"/>
      <c r="I302" s="164"/>
      <c r="L302" s="595">
        <f>SUM(L303:L306)</f>
        <v>0</v>
      </c>
      <c r="M302" s="595">
        <f>SUM(M303:M306)</f>
        <v>328502.99</v>
      </c>
      <c r="N302" s="596">
        <f>SUM(N303:N305)</f>
        <v>0</v>
      </c>
      <c r="O302" s="596">
        <f>SUM(O303:O306)</f>
        <v>0</v>
      </c>
      <c r="P302" s="596">
        <f>SUM(P303:P305)</f>
        <v>0</v>
      </c>
      <c r="Q302" s="596">
        <f>SUM(Q303:Q306)</f>
        <v>0</v>
      </c>
      <c r="R302" s="596">
        <f>SUM(R303:R305)</f>
        <v>0</v>
      </c>
      <c r="S302" s="423"/>
    </row>
    <row r="303" spans="1:18" ht="12" customHeight="1">
      <c r="A303" s="558"/>
      <c r="B303" s="68">
        <v>716</v>
      </c>
      <c r="C303" s="69" t="s">
        <v>300</v>
      </c>
      <c r="D303" s="105"/>
      <c r="E303" s="93"/>
      <c r="F303" s="105"/>
      <c r="G303" s="93"/>
      <c r="H303" s="123"/>
      <c r="I303" s="3"/>
      <c r="K303" s="100"/>
      <c r="L303" s="491">
        <v>0</v>
      </c>
      <c r="M303" s="491">
        <v>0</v>
      </c>
      <c r="N303" s="3">
        <v>0</v>
      </c>
      <c r="O303" s="168">
        <v>0</v>
      </c>
      <c r="P303" s="3">
        <v>0</v>
      </c>
      <c r="Q303" s="3">
        <v>0</v>
      </c>
      <c r="R303" s="3">
        <v>0</v>
      </c>
    </row>
    <row r="304" spans="1:18" ht="12" customHeight="1">
      <c r="A304" s="471"/>
      <c r="B304" s="68">
        <v>717001</v>
      </c>
      <c r="C304" s="69" t="s">
        <v>312</v>
      </c>
      <c r="D304" s="105"/>
      <c r="E304" s="93"/>
      <c r="F304" s="105"/>
      <c r="G304" s="93"/>
      <c r="H304" s="123"/>
      <c r="I304" s="3"/>
      <c r="K304" s="100"/>
      <c r="L304" s="491">
        <v>0</v>
      </c>
      <c r="M304" s="491">
        <v>281770.42</v>
      </c>
      <c r="N304" s="3">
        <v>0</v>
      </c>
      <c r="O304" s="168">
        <v>0</v>
      </c>
      <c r="P304" s="3">
        <v>0</v>
      </c>
      <c r="Q304" s="3">
        <v>0</v>
      </c>
      <c r="R304" s="3">
        <v>0</v>
      </c>
    </row>
    <row r="305" spans="1:18" ht="12" customHeight="1">
      <c r="A305" s="471"/>
      <c r="B305" s="68">
        <v>717001</v>
      </c>
      <c r="C305" s="69" t="s">
        <v>316</v>
      </c>
      <c r="D305" s="105"/>
      <c r="E305" s="93"/>
      <c r="F305" s="105"/>
      <c r="G305" s="93"/>
      <c r="H305" s="123"/>
      <c r="I305" s="3"/>
      <c r="K305" s="100"/>
      <c r="L305" s="491">
        <v>0</v>
      </c>
      <c r="M305" s="491">
        <v>20306.7</v>
      </c>
      <c r="N305" s="3">
        <v>0</v>
      </c>
      <c r="O305" s="168">
        <v>0</v>
      </c>
      <c r="P305" s="3">
        <v>0</v>
      </c>
      <c r="Q305" s="3">
        <v>0</v>
      </c>
      <c r="R305" s="3">
        <v>0</v>
      </c>
    </row>
    <row r="306" spans="1:18" ht="12" customHeight="1">
      <c r="A306" s="471"/>
      <c r="B306" s="68">
        <v>717001</v>
      </c>
      <c r="C306" s="69" t="s">
        <v>357</v>
      </c>
      <c r="D306" s="105"/>
      <c r="E306" s="93"/>
      <c r="F306" s="105"/>
      <c r="G306" s="93"/>
      <c r="H306" s="123"/>
      <c r="I306" s="3"/>
      <c r="K306" s="100"/>
      <c r="L306" s="491">
        <v>0</v>
      </c>
      <c r="M306" s="491">
        <v>26425.87</v>
      </c>
      <c r="N306" s="3">
        <v>0</v>
      </c>
      <c r="O306" s="168">
        <v>0</v>
      </c>
      <c r="P306" s="3">
        <v>0</v>
      </c>
      <c r="Q306" s="3">
        <v>0</v>
      </c>
      <c r="R306" s="3">
        <v>0</v>
      </c>
    </row>
    <row r="307" spans="1:18" ht="16.5" customHeight="1" thickBot="1">
      <c r="A307" s="309" t="s">
        <v>4</v>
      </c>
      <c r="B307" s="310"/>
      <c r="C307" s="311"/>
      <c r="D307" s="304" t="e">
        <f>SUM(D292:D306)</f>
        <v>#REF!</v>
      </c>
      <c r="E307" s="305" t="e">
        <f>SUM(E292:E299)</f>
        <v>#REF!</v>
      </c>
      <c r="F307" s="304" t="e">
        <f>SUM(F292:F306)</f>
        <v>#REF!</v>
      </c>
      <c r="G307" s="307" t="e">
        <f>SUM(G292:G306)</f>
        <v>#REF!</v>
      </c>
      <c r="H307" s="312"/>
      <c r="I307" s="307" t="e">
        <f>SUM(I292:I306)</f>
        <v>#REF!</v>
      </c>
      <c r="J307" s="308"/>
      <c r="K307" s="308"/>
      <c r="L307" s="498">
        <f aca="true" t="shared" si="33" ref="L307:R307">SUM(L290+L294+L297+L299)</f>
        <v>36173.009999999995</v>
      </c>
      <c r="M307" s="498">
        <f t="shared" si="33"/>
        <v>340502.99</v>
      </c>
      <c r="N307" s="307">
        <f t="shared" si="33"/>
        <v>20500</v>
      </c>
      <c r="O307" s="307">
        <f t="shared" si="33"/>
        <v>12336</v>
      </c>
      <c r="P307" s="307">
        <f t="shared" si="33"/>
        <v>23450</v>
      </c>
      <c r="Q307" s="307">
        <f t="shared" si="33"/>
        <v>34392</v>
      </c>
      <c r="R307" s="307">
        <f t="shared" si="33"/>
        <v>36237</v>
      </c>
    </row>
    <row r="308" spans="1:18" ht="16.5" customHeight="1" thickBot="1" thickTop="1">
      <c r="A308" s="87"/>
      <c r="B308" s="88"/>
      <c r="C308" s="81"/>
      <c r="D308" s="2"/>
      <c r="E308" s="2" t="s">
        <v>29</v>
      </c>
      <c r="F308" s="2"/>
      <c r="G308" s="2"/>
      <c r="H308" s="2"/>
      <c r="I308" s="6"/>
      <c r="O308" s="100"/>
      <c r="R308" s="100"/>
    </row>
    <row r="309" spans="1:18" ht="34.5" thickTop="1">
      <c r="A309" s="200" t="s">
        <v>124</v>
      </c>
      <c r="B309" s="201"/>
      <c r="C309" s="264"/>
      <c r="D309" s="261" t="s">
        <v>38</v>
      </c>
      <c r="E309" s="252"/>
      <c r="F309" s="261" t="s">
        <v>39</v>
      </c>
      <c r="G309" s="262" t="s">
        <v>37</v>
      </c>
      <c r="H309" s="263"/>
      <c r="I309" s="205" t="s">
        <v>61</v>
      </c>
      <c r="J309" s="256"/>
      <c r="K309" s="256"/>
      <c r="L309" s="564" t="s">
        <v>366</v>
      </c>
      <c r="M309" s="564" t="s">
        <v>396</v>
      </c>
      <c r="N309" s="564" t="s">
        <v>364</v>
      </c>
      <c r="O309" s="618" t="s">
        <v>393</v>
      </c>
      <c r="P309" s="564" t="s">
        <v>365</v>
      </c>
      <c r="Q309" s="564" t="s">
        <v>394</v>
      </c>
      <c r="R309" s="618" t="s">
        <v>395</v>
      </c>
    </row>
    <row r="310" spans="1:18" ht="12" customHeight="1">
      <c r="A310" s="441" t="s">
        <v>339</v>
      </c>
      <c r="B310" s="442"/>
      <c r="C310" s="443"/>
      <c r="D310" s="444">
        <f>SUM(D311:D312)</f>
        <v>928.8000000000001</v>
      </c>
      <c r="E310" s="445">
        <f>SUM(E311:E312)</f>
        <v>0</v>
      </c>
      <c r="F310" s="444">
        <f>SUM(F311:F312)</f>
        <v>928.8000000000001</v>
      </c>
      <c r="G310" s="444">
        <f>SUM(G311:G312)</f>
        <v>696</v>
      </c>
      <c r="H310" s="347">
        <f>+G310/D310</f>
        <v>0.7493540051679586</v>
      </c>
      <c r="I310" s="446">
        <f>SUM(I311:I312)</f>
        <v>928.8000000000001</v>
      </c>
      <c r="J310" s="328"/>
      <c r="K310" s="328"/>
      <c r="L310" s="524">
        <f aca="true" t="shared" si="34" ref="L310:R310">SUM(L311:L313)</f>
        <v>8582.54</v>
      </c>
      <c r="M310" s="524">
        <f t="shared" si="34"/>
        <v>8790.97</v>
      </c>
      <c r="N310" s="446">
        <f t="shared" si="34"/>
        <v>35389</v>
      </c>
      <c r="O310" s="446">
        <f t="shared" si="34"/>
        <v>35389</v>
      </c>
      <c r="P310" s="446">
        <f t="shared" si="34"/>
        <v>9233</v>
      </c>
      <c r="Q310" s="446">
        <f t="shared" si="34"/>
        <v>9248</v>
      </c>
      <c r="R310" s="446">
        <f t="shared" si="34"/>
        <v>9263</v>
      </c>
    </row>
    <row r="311" spans="1:18" ht="12">
      <c r="A311" s="74"/>
      <c r="B311" s="77" t="s">
        <v>142</v>
      </c>
      <c r="C311" s="188" t="s">
        <v>190</v>
      </c>
      <c r="D311" s="78">
        <f>77.4*12</f>
        <v>928.8000000000001</v>
      </c>
      <c r="E311" s="2"/>
      <c r="F311" s="134">
        <f>+D311</f>
        <v>928.8000000000001</v>
      </c>
      <c r="G311" s="92">
        <v>696</v>
      </c>
      <c r="H311" s="67">
        <f>+G311/D311</f>
        <v>0.7493540051679586</v>
      </c>
      <c r="I311" s="3">
        <f>+F311</f>
        <v>928.8000000000001</v>
      </c>
      <c r="L311" s="491">
        <v>3461.52</v>
      </c>
      <c r="M311" s="491">
        <v>3461.52</v>
      </c>
      <c r="N311" s="3">
        <v>3463</v>
      </c>
      <c r="O311" s="3">
        <v>3463</v>
      </c>
      <c r="P311" s="3">
        <v>3463</v>
      </c>
      <c r="Q311" s="3">
        <v>3463</v>
      </c>
      <c r="R311" s="3">
        <v>3463</v>
      </c>
    </row>
    <row r="312" spans="1:18" ht="12">
      <c r="A312" s="74"/>
      <c r="B312" s="77" t="s">
        <v>246</v>
      </c>
      <c r="C312" s="188" t="s">
        <v>217</v>
      </c>
      <c r="D312" s="78"/>
      <c r="E312" s="2"/>
      <c r="F312" s="134"/>
      <c r="G312" s="92"/>
      <c r="H312" s="67"/>
      <c r="I312" s="3">
        <v>0</v>
      </c>
      <c r="L312" s="491">
        <v>5121.02</v>
      </c>
      <c r="M312" s="491">
        <v>5329.45</v>
      </c>
      <c r="N312" s="3">
        <v>5500</v>
      </c>
      <c r="O312" s="3">
        <v>5500</v>
      </c>
      <c r="P312" s="3">
        <v>5770</v>
      </c>
      <c r="Q312" s="3">
        <v>5785</v>
      </c>
      <c r="R312" s="3">
        <v>5800</v>
      </c>
    </row>
    <row r="313" spans="1:18" ht="12">
      <c r="A313" s="583"/>
      <c r="B313" s="84">
        <v>821004</v>
      </c>
      <c r="C313" s="584" t="s">
        <v>360</v>
      </c>
      <c r="D313" s="79"/>
      <c r="E313" s="2"/>
      <c r="F313" s="585"/>
      <c r="G313" s="586"/>
      <c r="H313" s="67"/>
      <c r="I313" s="164"/>
      <c r="L313" s="527">
        <v>0</v>
      </c>
      <c r="M313" s="527">
        <v>0</v>
      </c>
      <c r="N313" s="164">
        <v>26426</v>
      </c>
      <c r="O313" s="164">
        <v>26426</v>
      </c>
      <c r="P313" s="164">
        <v>0</v>
      </c>
      <c r="Q313" s="164">
        <v>0</v>
      </c>
      <c r="R313" s="164">
        <v>0</v>
      </c>
    </row>
    <row r="314" spans="1:18" ht="16.5" customHeight="1" thickBot="1">
      <c r="A314" s="301" t="s">
        <v>124</v>
      </c>
      <c r="B314" s="302"/>
      <c r="C314" s="303"/>
      <c r="D314" s="304">
        <f>+D310</f>
        <v>928.8000000000001</v>
      </c>
      <c r="E314" s="305">
        <f>+E310</f>
        <v>0</v>
      </c>
      <c r="F314" s="304">
        <f>+F310</f>
        <v>928.8000000000001</v>
      </c>
      <c r="G314" s="304">
        <f>+G310</f>
        <v>696</v>
      </c>
      <c r="H314" s="306">
        <f>+G314/D314</f>
        <v>0.7493540051679586</v>
      </c>
      <c r="I314" s="307">
        <f>+I310</f>
        <v>928.8000000000001</v>
      </c>
      <c r="J314" s="308"/>
      <c r="K314" s="308"/>
      <c r="L314" s="498">
        <f>SUM(L311:L313)</f>
        <v>8582.54</v>
      </c>
      <c r="M314" s="498">
        <f>SUM(M311:M313)</f>
        <v>8790.97</v>
      </c>
      <c r="N314" s="307">
        <f>SUM(N310)</f>
        <v>35389</v>
      </c>
      <c r="O314" s="307">
        <f>SUM(O310)</f>
        <v>35389</v>
      </c>
      <c r="P314" s="307">
        <f>SUM(P310)</f>
        <v>9233</v>
      </c>
      <c r="Q314" s="307">
        <f>SUM(Q310)</f>
        <v>9248</v>
      </c>
      <c r="R314" s="307">
        <f>SUM(R311:R313)</f>
        <v>9263</v>
      </c>
    </row>
    <row r="315" spans="1:18" ht="12" customHeight="1" thickBot="1" thickTop="1">
      <c r="A315" s="135"/>
      <c r="B315" s="136"/>
      <c r="C315" s="137"/>
      <c r="D315" s="71"/>
      <c r="F315" s="71"/>
      <c r="H315" s="138"/>
      <c r="I315" s="71"/>
      <c r="O315" s="100"/>
      <c r="R315" s="100"/>
    </row>
    <row r="316" spans="1:18" ht="36.75" customHeight="1" thickTop="1">
      <c r="A316" s="271" t="s">
        <v>26</v>
      </c>
      <c r="B316" s="272"/>
      <c r="C316" s="273"/>
      <c r="D316" s="261" t="s">
        <v>38</v>
      </c>
      <c r="E316" s="252"/>
      <c r="F316" s="261" t="s">
        <v>39</v>
      </c>
      <c r="G316" s="262" t="s">
        <v>37</v>
      </c>
      <c r="H316" s="263"/>
      <c r="I316" s="205" t="s">
        <v>61</v>
      </c>
      <c r="J316" s="256"/>
      <c r="K316" s="256"/>
      <c r="L316" s="564" t="s">
        <v>366</v>
      </c>
      <c r="M316" s="564" t="s">
        <v>396</v>
      </c>
      <c r="N316" s="564" t="s">
        <v>364</v>
      </c>
      <c r="O316" s="618" t="s">
        <v>393</v>
      </c>
      <c r="P316" s="564" t="s">
        <v>365</v>
      </c>
      <c r="Q316" s="564" t="s">
        <v>394</v>
      </c>
      <c r="R316" s="618" t="s">
        <v>395</v>
      </c>
    </row>
    <row r="317" spans="1:18" ht="13.5" customHeight="1">
      <c r="A317" s="265" t="s">
        <v>23</v>
      </c>
      <c r="B317" s="266"/>
      <c r="C317" s="267"/>
      <c r="D317" s="183" t="e">
        <f>+D287</f>
        <v>#REF!</v>
      </c>
      <c r="E317" s="184"/>
      <c r="F317" s="183" t="e">
        <f>+F287</f>
        <v>#REF!</v>
      </c>
      <c r="G317" s="183" t="e">
        <f>+G287</f>
        <v>#REF!</v>
      </c>
      <c r="H317" s="185" t="e">
        <f>+G317/D317</f>
        <v>#REF!</v>
      </c>
      <c r="I317" s="186" t="e">
        <f>+I287</f>
        <v>#REF!</v>
      </c>
      <c r="L317" s="529">
        <f aca="true" t="shared" si="35" ref="L317:R317">L287</f>
        <v>190245.66999999998</v>
      </c>
      <c r="M317" s="529">
        <f t="shared" si="35"/>
        <v>183577.21000000005</v>
      </c>
      <c r="N317" s="186">
        <f t="shared" si="35"/>
        <v>156424</v>
      </c>
      <c r="O317" s="186">
        <f t="shared" si="35"/>
        <v>229927</v>
      </c>
      <c r="P317" s="186">
        <f t="shared" si="35"/>
        <v>156767</v>
      </c>
      <c r="Q317" s="186">
        <f t="shared" si="35"/>
        <v>132308</v>
      </c>
      <c r="R317" s="186">
        <f t="shared" si="35"/>
        <v>131448</v>
      </c>
    </row>
    <row r="318" spans="1:18" ht="13.5" customHeight="1">
      <c r="A318" s="265" t="s">
        <v>24</v>
      </c>
      <c r="B318" s="266"/>
      <c r="C318" s="267"/>
      <c r="D318" s="183" t="e">
        <f>+#REF!</f>
        <v>#REF!</v>
      </c>
      <c r="E318" s="184"/>
      <c r="F318" s="183" t="e">
        <f>+#REF!</f>
        <v>#REF!</v>
      </c>
      <c r="G318" s="183" t="e">
        <f>+#REF!</f>
        <v>#REF!</v>
      </c>
      <c r="H318" s="185" t="e">
        <f>+G318/D318</f>
        <v>#REF!</v>
      </c>
      <c r="I318" s="186" t="e">
        <f>+#REF!</f>
        <v>#REF!</v>
      </c>
      <c r="L318" s="529">
        <f aca="true" t="shared" si="36" ref="L318:R318">L307</f>
        <v>36173.009999999995</v>
      </c>
      <c r="M318" s="529">
        <f t="shared" si="36"/>
        <v>340502.99</v>
      </c>
      <c r="N318" s="186">
        <f t="shared" si="36"/>
        <v>20500</v>
      </c>
      <c r="O318" s="186">
        <f t="shared" si="36"/>
        <v>12336</v>
      </c>
      <c r="P318" s="186">
        <f t="shared" si="36"/>
        <v>23450</v>
      </c>
      <c r="Q318" s="186">
        <f t="shared" si="36"/>
        <v>34392</v>
      </c>
      <c r="R318" s="186">
        <f t="shared" si="36"/>
        <v>36237</v>
      </c>
    </row>
    <row r="319" spans="1:18" ht="13.5" customHeight="1">
      <c r="A319" s="265" t="s">
        <v>126</v>
      </c>
      <c r="B319" s="266"/>
      <c r="C319" s="267"/>
      <c r="D319" s="183">
        <f>+D314</f>
        <v>928.8000000000001</v>
      </c>
      <c r="E319" s="184"/>
      <c r="F319" s="183">
        <f>+F314</f>
        <v>928.8000000000001</v>
      </c>
      <c r="G319" s="183">
        <f>+G314</f>
        <v>696</v>
      </c>
      <c r="H319" s="185">
        <f>+G319/D319</f>
        <v>0.7493540051679586</v>
      </c>
      <c r="I319" s="186">
        <f>+I314</f>
        <v>928.8000000000001</v>
      </c>
      <c r="L319" s="529">
        <f aca="true" t="shared" si="37" ref="L319:R319">L314</f>
        <v>8582.54</v>
      </c>
      <c r="M319" s="529">
        <f t="shared" si="37"/>
        <v>8790.97</v>
      </c>
      <c r="N319" s="186">
        <f t="shared" si="37"/>
        <v>35389</v>
      </c>
      <c r="O319" s="186">
        <f t="shared" si="37"/>
        <v>35389</v>
      </c>
      <c r="P319" s="186">
        <f t="shared" si="37"/>
        <v>9233</v>
      </c>
      <c r="Q319" s="186">
        <f t="shared" si="37"/>
        <v>9248</v>
      </c>
      <c r="R319" s="186">
        <f t="shared" si="37"/>
        <v>9263</v>
      </c>
    </row>
    <row r="320" spans="1:18" ht="13.5" customHeight="1">
      <c r="A320" s="294" t="s">
        <v>283</v>
      </c>
      <c r="B320" s="295"/>
      <c r="C320" s="296"/>
      <c r="D320" s="297" t="e">
        <f>+D318+D317+D319</f>
        <v>#REF!</v>
      </c>
      <c r="E320" s="298">
        <f>+E318+E317+E319</f>
        <v>0</v>
      </c>
      <c r="F320" s="297" t="e">
        <f>+F318+F317+F319</f>
        <v>#REF!</v>
      </c>
      <c r="G320" s="297" t="e">
        <f>+G318+G317+G319</f>
        <v>#REF!</v>
      </c>
      <c r="H320" s="299" t="e">
        <f>+G320/D320</f>
        <v>#REF!</v>
      </c>
      <c r="I320" s="300" t="e">
        <f>+I318+I317+I319</f>
        <v>#REF!</v>
      </c>
      <c r="J320" s="292"/>
      <c r="K320" s="292"/>
      <c r="L320" s="502">
        <f aca="true" t="shared" si="38" ref="L320:R320">SUM(L317:L319)</f>
        <v>235001.22</v>
      </c>
      <c r="M320" s="502">
        <f t="shared" si="38"/>
        <v>532871.17</v>
      </c>
      <c r="N320" s="300">
        <f t="shared" si="38"/>
        <v>212313</v>
      </c>
      <c r="O320" s="300">
        <f t="shared" si="38"/>
        <v>277652</v>
      </c>
      <c r="P320" s="300">
        <f t="shared" si="38"/>
        <v>189450</v>
      </c>
      <c r="Q320" s="300">
        <f t="shared" si="38"/>
        <v>175948</v>
      </c>
      <c r="R320" s="300">
        <f t="shared" si="38"/>
        <v>176948</v>
      </c>
    </row>
    <row r="321" spans="1:18" ht="12.75" customHeight="1">
      <c r="A321" s="87"/>
      <c r="B321" s="88"/>
      <c r="C321" s="81"/>
      <c r="D321" s="82"/>
      <c r="E321" s="2"/>
      <c r="F321" s="82"/>
      <c r="G321" s="92"/>
      <c r="H321" s="138"/>
      <c r="I321" s="4"/>
      <c r="L321" s="4"/>
      <c r="M321" s="4"/>
      <c r="N321" s="4"/>
      <c r="O321" s="4"/>
      <c r="P321" s="4"/>
      <c r="Q321" s="4"/>
      <c r="R321" s="4"/>
    </row>
    <row r="322" spans="1:18" ht="14.25">
      <c r="A322" s="265" t="s">
        <v>21</v>
      </c>
      <c r="B322" s="266"/>
      <c r="C322" s="267"/>
      <c r="D322" s="139" t="e">
        <f>+príjmy!#REF!</f>
        <v>#REF!</v>
      </c>
      <c r="E322" s="140" t="e">
        <f>+príjmy!#REF!</f>
        <v>#REF!</v>
      </c>
      <c r="F322" s="139" t="e">
        <f>+príjmy!#REF!</f>
        <v>#REF!</v>
      </c>
      <c r="G322" s="139" t="e">
        <f>+príjmy!F91</f>
        <v>#REF!</v>
      </c>
      <c r="H322" s="140" t="e">
        <f>+príjmy!G91</f>
        <v>#REF!</v>
      </c>
      <c r="I322" s="166" t="e">
        <f>+príjmy!H91</f>
        <v>#REF!</v>
      </c>
      <c r="K322" s="100"/>
      <c r="L322" s="512">
        <v>224321.57</v>
      </c>
      <c r="M322" s="512">
        <v>219433.66</v>
      </c>
      <c r="N322" s="535">
        <v>172405</v>
      </c>
      <c r="O322" s="534">
        <v>239676</v>
      </c>
      <c r="P322" s="535">
        <v>179700</v>
      </c>
      <c r="Q322" s="535">
        <v>175948</v>
      </c>
      <c r="R322" s="534">
        <v>176948</v>
      </c>
    </row>
    <row r="323" spans="1:18" ht="14.25">
      <c r="A323" s="265" t="s">
        <v>20</v>
      </c>
      <c r="B323" s="266"/>
      <c r="C323" s="267"/>
      <c r="D323" s="139" t="e">
        <f>+príjmy!C91</f>
        <v>#REF!</v>
      </c>
      <c r="E323" s="140" t="e">
        <f>+príjmy!F91</f>
        <v>#REF!</v>
      </c>
      <c r="F323" s="139" t="e">
        <f>+príjmy!E91</f>
        <v>#REF!</v>
      </c>
      <c r="G323" s="139" t="e">
        <f>+príjmy!F90</f>
        <v>#REF!</v>
      </c>
      <c r="H323" s="140" t="e">
        <f>+príjmy!G90</f>
        <v>#REF!</v>
      </c>
      <c r="I323" s="166" t="e">
        <f>+príjmy!H90</f>
        <v>#REF!</v>
      </c>
      <c r="K323" s="100"/>
      <c r="L323" s="512">
        <v>405</v>
      </c>
      <c r="M323" s="512">
        <v>284770.42</v>
      </c>
      <c r="N323" s="187">
        <v>30908</v>
      </c>
      <c r="O323" s="187">
        <v>28976</v>
      </c>
      <c r="P323" s="187">
        <v>750</v>
      </c>
      <c r="Q323" s="187">
        <v>0</v>
      </c>
      <c r="R323" s="534">
        <v>0</v>
      </c>
    </row>
    <row r="324" spans="1:18" ht="14.25">
      <c r="A324" s="268" t="s">
        <v>115</v>
      </c>
      <c r="B324" s="269"/>
      <c r="C324" s="270"/>
      <c r="D324" s="141" t="e">
        <f>+príjmy!C94</f>
        <v>#REF!</v>
      </c>
      <c r="E324" s="142" t="e">
        <f>+príjmy!F94</f>
        <v>#REF!</v>
      </c>
      <c r="F324" s="141" t="e">
        <f>+príjmy!E94</f>
        <v>#REF!</v>
      </c>
      <c r="G324" s="139">
        <f>+príjmy!F92</f>
        <v>2487</v>
      </c>
      <c r="H324" s="140">
        <f>+príjmy!G92</f>
        <v>0.6112066846891128</v>
      </c>
      <c r="I324" s="166">
        <f>+príjmy!H92</f>
        <v>4069</v>
      </c>
      <c r="K324" s="100"/>
      <c r="L324" s="512">
        <v>31842.88</v>
      </c>
      <c r="M324" s="512">
        <v>47111.71</v>
      </c>
      <c r="N324" s="187">
        <v>9000</v>
      </c>
      <c r="O324" s="187">
        <v>9000</v>
      </c>
      <c r="P324" s="187">
        <v>9000</v>
      </c>
      <c r="Q324" s="187">
        <v>0</v>
      </c>
      <c r="R324" s="534">
        <v>0</v>
      </c>
    </row>
    <row r="325" spans="1:18" ht="14.25">
      <c r="A325" s="268"/>
      <c r="B325" s="269"/>
      <c r="C325" s="270"/>
      <c r="D325" s="141"/>
      <c r="E325" s="142"/>
      <c r="F325" s="141"/>
      <c r="G325" s="139"/>
      <c r="H325" s="140"/>
      <c r="I325" s="166"/>
      <c r="L325" s="187"/>
      <c r="M325" s="187"/>
      <c r="N325" s="187"/>
      <c r="O325" s="187"/>
      <c r="P325" s="187"/>
      <c r="Q325" s="187"/>
      <c r="R325" s="187"/>
    </row>
    <row r="326" spans="1:18" ht="15.75" thickBot="1">
      <c r="A326" s="293" t="s">
        <v>22</v>
      </c>
      <c r="B326" s="286"/>
      <c r="C326" s="287"/>
      <c r="D326" s="288" t="e">
        <f>+D322+D323+D324</f>
        <v>#REF!</v>
      </c>
      <c r="E326" s="289" t="e">
        <f>+E322+E323+E324</f>
        <v>#REF!</v>
      </c>
      <c r="F326" s="288" t="e">
        <f>+F322+F323+F324</f>
        <v>#REF!</v>
      </c>
      <c r="G326" s="290" t="e">
        <f>+G322+G323+G324+G325</f>
        <v>#REF!</v>
      </c>
      <c r="H326" s="291" t="e">
        <f>+G326/D326</f>
        <v>#REF!</v>
      </c>
      <c r="I326" s="290" t="e">
        <f>+I322+I323+I324+I325</f>
        <v>#REF!</v>
      </c>
      <c r="J326" s="292"/>
      <c r="K326" s="292"/>
      <c r="L326" s="513">
        <f aca="true" t="shared" si="39" ref="L326:R326">SUM(L322:L325)</f>
        <v>256569.45</v>
      </c>
      <c r="M326" s="513">
        <f t="shared" si="39"/>
        <v>551315.7899999999</v>
      </c>
      <c r="N326" s="222">
        <f t="shared" si="39"/>
        <v>212313</v>
      </c>
      <c r="O326" s="222">
        <f t="shared" si="39"/>
        <v>277652</v>
      </c>
      <c r="P326" s="222">
        <f t="shared" si="39"/>
        <v>189450</v>
      </c>
      <c r="Q326" s="222">
        <f t="shared" si="39"/>
        <v>175948</v>
      </c>
      <c r="R326" s="222">
        <f t="shared" si="39"/>
        <v>176948</v>
      </c>
    </row>
    <row r="327" spans="1:18" ht="17.25" thickBot="1" thickTop="1">
      <c r="A327" s="274" t="s">
        <v>125</v>
      </c>
      <c r="B327" s="275"/>
      <c r="C327" s="276"/>
      <c r="D327" s="277" t="e">
        <f>+D326-D320</f>
        <v>#REF!</v>
      </c>
      <c r="E327" s="277" t="e">
        <f>+E326-E320</f>
        <v>#REF!</v>
      </c>
      <c r="F327" s="277" t="e">
        <f>+F326-F320</f>
        <v>#REF!</v>
      </c>
      <c r="G327" s="277" t="e">
        <f>+G326-G320</f>
        <v>#REF!</v>
      </c>
      <c r="H327" s="278" t="e">
        <f>+G327/D327</f>
        <v>#REF!</v>
      </c>
      <c r="I327" s="279" t="e">
        <f>+I326-I320</f>
        <v>#REF!</v>
      </c>
      <c r="J327" s="256"/>
      <c r="K327" s="280"/>
      <c r="L327" s="514">
        <f aca="true" t="shared" si="40" ref="L327:R327">SUM(L326-L320)</f>
        <v>21568.23000000001</v>
      </c>
      <c r="M327" s="514">
        <f t="shared" si="40"/>
        <v>18444.61999999988</v>
      </c>
      <c r="N327" s="279">
        <f t="shared" si="40"/>
        <v>0</v>
      </c>
      <c r="O327" s="279">
        <f t="shared" si="40"/>
        <v>0</v>
      </c>
      <c r="P327" s="279">
        <f t="shared" si="40"/>
        <v>0</v>
      </c>
      <c r="Q327" s="279">
        <f t="shared" si="40"/>
        <v>0</v>
      </c>
      <c r="R327" s="279">
        <f t="shared" si="40"/>
        <v>0</v>
      </c>
    </row>
    <row r="328" ht="12" hidden="1" thickTop="1">
      <c r="L328" s="148"/>
    </row>
    <row r="329" spans="3:12" ht="13.5" hidden="1" thickTop="1">
      <c r="C329" s="145">
        <f>PMT(3.8%/12,144,10000000,0,0)</f>
        <v>-86584.97545243049</v>
      </c>
      <c r="I329" s="146">
        <f>+C329+I330</f>
        <v>-69444.44444444444</v>
      </c>
      <c r="L329" s="148"/>
    </row>
    <row r="330" spans="2:12" ht="12" hidden="1" thickTop="1">
      <c r="B330" s="143" t="s">
        <v>46</v>
      </c>
      <c r="C330" s="147">
        <f>+C329*-144</f>
        <v>12468236.465149991</v>
      </c>
      <c r="G330" s="148">
        <f>+C330-10000000</f>
        <v>2468236.465149991</v>
      </c>
      <c r="I330" s="72">
        <f>+G330/144</f>
        <v>17140.53100798605</v>
      </c>
      <c r="L330" s="148"/>
    </row>
    <row r="331" spans="2:12" ht="12" hidden="1" thickTop="1">
      <c r="B331" s="143" t="s">
        <v>45</v>
      </c>
      <c r="C331" s="149">
        <f>+C329*-12</f>
        <v>1039019.7054291659</v>
      </c>
      <c r="L331" s="148"/>
    </row>
    <row r="332" spans="2:12" ht="12" hidden="1" thickTop="1">
      <c r="B332" s="143" t="s">
        <v>47</v>
      </c>
      <c r="C332" s="149">
        <f>+I330</f>
        <v>17140.53100798605</v>
      </c>
      <c r="L332" s="148"/>
    </row>
    <row r="333" spans="2:12" ht="14.25" customHeight="1" hidden="1">
      <c r="B333" s="143" t="s">
        <v>48</v>
      </c>
      <c r="C333" s="149">
        <f>+C332*12</f>
        <v>205686.3720958326</v>
      </c>
      <c r="L333" s="148"/>
    </row>
    <row r="334" spans="2:12" ht="16.5" customHeight="1" hidden="1">
      <c r="B334" s="143" t="s">
        <v>49</v>
      </c>
      <c r="C334" s="149">
        <v>69444.44</v>
      </c>
      <c r="L334" s="148"/>
    </row>
    <row r="335" spans="2:12" ht="11.25" customHeight="1" hidden="1" thickTop="1">
      <c r="B335" s="143" t="s">
        <v>50</v>
      </c>
      <c r="C335" s="149">
        <f>+C334*12</f>
        <v>833333.28</v>
      </c>
      <c r="L335" s="148"/>
    </row>
    <row r="336" spans="2:12" ht="12" hidden="1" thickTop="1">
      <c r="B336" s="150"/>
      <c r="C336" s="72"/>
      <c r="L336" s="148"/>
    </row>
    <row r="337" spans="2:12" ht="12" hidden="1" thickTop="1">
      <c r="B337" s="151" t="s">
        <v>60</v>
      </c>
      <c r="C337" s="152"/>
      <c r="L337" s="148"/>
    </row>
    <row r="338" spans="2:12" ht="15.75" hidden="1" thickTop="1">
      <c r="B338" s="153" t="s">
        <v>56</v>
      </c>
      <c r="C338" s="154">
        <f>PMT(4%/12,156,15000000,0,0)</f>
        <v>-123467.42335591247</v>
      </c>
      <c r="L338" s="148"/>
    </row>
    <row r="339" spans="2:12" ht="15.75" hidden="1" thickTop="1">
      <c r="B339" s="153" t="s">
        <v>57</v>
      </c>
      <c r="C339" s="155">
        <f>(+C338*12)*-1</f>
        <v>1481609.0802709498</v>
      </c>
      <c r="L339" s="148"/>
    </row>
    <row r="340" spans="2:12" ht="15.75" hidden="1" thickTop="1">
      <c r="B340" s="153" t="s">
        <v>58</v>
      </c>
      <c r="C340" s="155">
        <f>+C339-C341</f>
        <v>231609.08027094975</v>
      </c>
      <c r="L340" s="148"/>
    </row>
    <row r="341" spans="2:12" ht="16.5" hidden="1" thickBot="1" thickTop="1">
      <c r="B341" s="156" t="s">
        <v>59</v>
      </c>
      <c r="C341" s="157">
        <f>+((15000000/144)*12)</f>
        <v>1250000</v>
      </c>
      <c r="L341" s="148"/>
    </row>
    <row r="342" spans="2:12" ht="12" thickTop="1">
      <c r="B342" s="72"/>
      <c r="C342" s="72"/>
      <c r="L342" s="148"/>
    </row>
    <row r="343" spans="1:3" ht="12.75">
      <c r="A343" s="428" t="s">
        <v>407</v>
      </c>
      <c r="B343" s="428"/>
      <c r="C343" s="428"/>
    </row>
    <row r="344" spans="1:3" ht="12.75">
      <c r="A344" s="428" t="s">
        <v>342</v>
      </c>
      <c r="B344" s="428"/>
      <c r="C344" s="428"/>
    </row>
    <row r="345" spans="1:3" ht="12.75" hidden="1">
      <c r="A345" s="428"/>
      <c r="B345" s="428"/>
      <c r="C345" s="428"/>
    </row>
    <row r="346" spans="1:15" ht="12.75">
      <c r="A346" s="428" t="s">
        <v>405</v>
      </c>
      <c r="B346" s="428"/>
      <c r="C346" s="428"/>
      <c r="O346" s="428" t="s">
        <v>343</v>
      </c>
    </row>
    <row r="347" spans="1:15" ht="12.75">
      <c r="A347" s="428" t="s">
        <v>406</v>
      </c>
      <c r="B347" s="428"/>
      <c r="C347" s="428"/>
      <c r="O347" s="428" t="s">
        <v>344</v>
      </c>
    </row>
    <row r="348" spans="1:3" ht="12.75">
      <c r="A348" s="428" t="s">
        <v>404</v>
      </c>
      <c r="B348" s="428"/>
      <c r="C348" s="428"/>
    </row>
    <row r="349" spans="1:3" ht="12.75">
      <c r="A349" s="428"/>
      <c r="B349" s="428"/>
      <c r="C349" s="428"/>
    </row>
    <row r="350" spans="1:4" ht="12.75" hidden="1">
      <c r="A350" s="158"/>
      <c r="B350" s="72"/>
      <c r="C350" s="72"/>
      <c r="D350" s="159"/>
    </row>
    <row r="352" ht="11.25">
      <c r="G352" s="100"/>
    </row>
    <row r="355" ht="11.25" hidden="1"/>
    <row r="360" ht="11.25" hidden="1"/>
    <row r="361" ht="11.25" hidden="1"/>
    <row r="367" ht="11.25">
      <c r="G367" s="100"/>
    </row>
    <row r="370" ht="11.25" hidden="1"/>
    <row r="371" ht="11.25" hidden="1"/>
    <row r="374" spans="2:3" ht="11.25">
      <c r="B374" s="72"/>
      <c r="C374" s="72"/>
    </row>
    <row r="375" spans="2:3" ht="11.25">
      <c r="B375" s="72"/>
      <c r="C375" s="72"/>
    </row>
    <row r="376" spans="2:3" ht="11.25">
      <c r="B376" s="72"/>
      <c r="C376" s="72"/>
    </row>
    <row r="377" spans="2:3" ht="11.25">
      <c r="B377" s="72"/>
      <c r="C377" s="72"/>
    </row>
    <row r="378" spans="2:3" ht="11.25">
      <c r="B378" s="72"/>
      <c r="C378" s="72"/>
    </row>
    <row r="379" spans="2:3" ht="11.25">
      <c r="B379" s="72"/>
      <c r="C379" s="72"/>
    </row>
    <row r="380" spans="2:3" ht="11.25">
      <c r="B380" s="72"/>
      <c r="C380" s="72"/>
    </row>
    <row r="381" spans="2:7" ht="11.25">
      <c r="B381" s="72"/>
      <c r="C381" s="72"/>
      <c r="G381" s="100"/>
    </row>
    <row r="382" spans="2:7" ht="11.25">
      <c r="B382" s="72"/>
      <c r="C382" s="72"/>
      <c r="G382" s="100"/>
    </row>
    <row r="383" spans="2:7" ht="11.25">
      <c r="B383" s="72"/>
      <c r="C383" s="72"/>
      <c r="G383" s="100"/>
    </row>
    <row r="384" spans="2:7" ht="11.25" hidden="1">
      <c r="B384" s="72"/>
      <c r="C384" s="72"/>
      <c r="G384" s="100"/>
    </row>
    <row r="385" spans="2:3" ht="11.25" hidden="1">
      <c r="B385" s="72"/>
      <c r="C385" s="72"/>
    </row>
    <row r="386" spans="2:3" ht="11.25">
      <c r="B386" s="72"/>
      <c r="C386" s="72"/>
    </row>
    <row r="387" spans="2:3" ht="11.25">
      <c r="B387" s="72"/>
      <c r="C387" s="72"/>
    </row>
    <row r="388" spans="2:3" ht="11.25">
      <c r="B388" s="72"/>
      <c r="C388" s="72"/>
    </row>
    <row r="389" spans="2:3" ht="11.25">
      <c r="B389" s="72"/>
      <c r="C389" s="72"/>
    </row>
    <row r="390" spans="2:3" ht="11.25">
      <c r="B390" s="72"/>
      <c r="C390" s="72"/>
    </row>
    <row r="391" spans="2:3" ht="11.25">
      <c r="B391" s="72"/>
      <c r="C391" s="72"/>
    </row>
    <row r="392" spans="2:3" ht="11.25">
      <c r="B392" s="72"/>
      <c r="C392" s="72"/>
    </row>
    <row r="393" spans="2:3" ht="11.25">
      <c r="B393" s="72"/>
      <c r="C393" s="72"/>
    </row>
    <row r="394" spans="2:3" ht="11.25">
      <c r="B394" s="72"/>
      <c r="C394" s="72"/>
    </row>
    <row r="395" spans="2:3" ht="11.25">
      <c r="B395" s="72"/>
      <c r="C395" s="72"/>
    </row>
    <row r="396" spans="2:3" ht="11.25">
      <c r="B396" s="72"/>
      <c r="C396" s="72"/>
    </row>
    <row r="397" spans="2:8" ht="11.25">
      <c r="B397" s="72"/>
      <c r="C397" s="72"/>
      <c r="H397" s="100"/>
    </row>
    <row r="398" spans="2:8" ht="11.25">
      <c r="B398" s="72"/>
      <c r="C398" s="72"/>
      <c r="H398" s="100"/>
    </row>
    <row r="399" spans="2:8" ht="11.25">
      <c r="B399" s="72"/>
      <c r="C399" s="72"/>
      <c r="H399" s="100"/>
    </row>
    <row r="400" spans="2:3" ht="11.25">
      <c r="B400" s="72"/>
      <c r="C400" s="72"/>
    </row>
    <row r="401" spans="2:3" ht="11.25">
      <c r="B401" s="72"/>
      <c r="C401" s="72"/>
    </row>
    <row r="402" spans="2:6" ht="11.25">
      <c r="B402" s="72"/>
      <c r="C402" s="72"/>
      <c r="E402" s="100"/>
      <c r="F402" s="100"/>
    </row>
    <row r="403" spans="2:6" ht="11.25">
      <c r="B403" s="72"/>
      <c r="C403" s="72"/>
      <c r="E403" s="100"/>
      <c r="F403" s="100"/>
    </row>
    <row r="404" spans="2:8" ht="19.5" customHeight="1">
      <c r="B404" s="72"/>
      <c r="C404" s="72"/>
      <c r="G404" s="100"/>
      <c r="H404" s="100"/>
    </row>
    <row r="405" spans="2:3" ht="11.25">
      <c r="B405" s="72"/>
      <c r="C405" s="72"/>
    </row>
    <row r="410" ht="17.25" customHeight="1"/>
  </sheetData>
  <sheetProtection/>
  <mergeCells count="2">
    <mergeCell ref="A192:C192"/>
    <mergeCell ref="A300:C300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Kadlíčková</cp:lastModifiedBy>
  <cp:lastPrinted>2017-04-21T14:15:33Z</cp:lastPrinted>
  <dcterms:modified xsi:type="dcterms:W3CDTF">2017-06-15T05:41:05Z</dcterms:modified>
  <cp:category/>
  <cp:version/>
  <cp:contentType/>
  <cp:contentStatus/>
</cp:coreProperties>
</file>